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020" windowHeight="9855"/>
  </bookViews>
  <sheets>
    <sheet name="Wire Detail" sheetId="1" r:id="rId1"/>
    <sheet name="Voltage Drop Calculations" sheetId="4" r:id="rId2"/>
    <sheet name="Schematic" sheetId="2" r:id="rId3"/>
    <sheet name="Sheet3" sheetId="3" r:id="rId4"/>
  </sheets>
  <definedNames>
    <definedName name="_xlnm.Print_Area" localSheetId="2">Schematic!$A$1:$Q$43</definedName>
    <definedName name="_xlnm.Print_Area" localSheetId="1">'Voltage Drop Calculations'!$A$1:$O$37</definedName>
    <definedName name="_xlnm.Print_Area" localSheetId="0">'Wire Detail'!$A$1:$L$129</definedName>
  </definedNames>
  <calcPr calcId="125725"/>
</workbook>
</file>

<file path=xl/calcChain.xml><?xml version="1.0" encoding="utf-8"?>
<calcChain xmlns="http://schemas.openxmlformats.org/spreadsheetml/2006/main">
  <c r="K98" i="1"/>
  <c r="K97"/>
  <c r="D88"/>
  <c r="D83"/>
  <c r="D8"/>
  <c r="D4"/>
  <c r="I90" l="1"/>
  <c r="J90"/>
  <c r="J76"/>
  <c r="I76"/>
  <c r="J75"/>
  <c r="I75"/>
  <c r="J74"/>
  <c r="I74"/>
  <c r="J73"/>
  <c r="I73"/>
  <c r="J72"/>
  <c r="I72"/>
  <c r="J71"/>
  <c r="I71"/>
  <c r="D65" l="1"/>
  <c r="H14" i="4" l="1"/>
  <c r="H16"/>
  <c r="H18"/>
  <c r="H20"/>
  <c r="K14"/>
  <c r="K16"/>
  <c r="L20"/>
  <c r="L18"/>
  <c r="L16"/>
  <c r="L14"/>
  <c r="G20"/>
  <c r="G18"/>
  <c r="G16"/>
  <c r="G14"/>
  <c r="D128" i="1" l="1"/>
  <c r="D127"/>
  <c r="D126"/>
  <c r="D125"/>
  <c r="L63" s="1"/>
  <c r="D124"/>
  <c r="D123"/>
  <c r="D122"/>
  <c r="D121"/>
  <c r="D120"/>
  <c r="D119"/>
  <c r="F20" i="4"/>
  <c r="I20" s="1"/>
  <c r="J20" s="1"/>
  <c r="F18"/>
  <c r="I18" s="1"/>
  <c r="J18" s="1"/>
  <c r="F16"/>
  <c r="I16" s="1"/>
  <c r="J16" s="1"/>
  <c r="F14"/>
  <c r="I14" s="1"/>
  <c r="J14" s="1"/>
  <c r="M20"/>
  <c r="D35"/>
  <c r="D34"/>
  <c r="D33"/>
  <c r="D32"/>
  <c r="K20" s="1"/>
  <c r="D31"/>
  <c r="D30"/>
  <c r="D29"/>
  <c r="D28"/>
  <c r="K18" s="1"/>
  <c r="D27"/>
  <c r="D26"/>
  <c r="L97" i="1" l="1"/>
  <c r="L98"/>
  <c r="K63"/>
  <c r="N20" i="4"/>
  <c r="O20" s="1"/>
  <c r="F9" l="1"/>
  <c r="G9" s="1"/>
  <c r="J83" i="1" l="1"/>
  <c r="I83"/>
  <c r="D49" l="1"/>
  <c r="D89"/>
  <c r="J86" l="1"/>
  <c r="L86" s="1"/>
  <c r="I86"/>
  <c r="K86" s="1"/>
  <c r="J96" l="1"/>
  <c r="I96"/>
  <c r="J95" l="1"/>
  <c r="L95" s="1"/>
  <c r="I95"/>
  <c r="K95" s="1"/>
  <c r="J94"/>
  <c r="I94"/>
  <c r="J87"/>
  <c r="L87" s="1"/>
  <c r="I87"/>
  <c r="K87" s="1"/>
  <c r="J84"/>
  <c r="L84" s="1"/>
  <c r="I84"/>
  <c r="K84" s="1"/>
  <c r="J82"/>
  <c r="L82" s="1"/>
  <c r="I82"/>
  <c r="K82" s="1"/>
  <c r="J81"/>
  <c r="L81" s="1"/>
  <c r="I81"/>
  <c r="K81" s="1"/>
  <c r="J80"/>
  <c r="L80" s="1"/>
  <c r="I80"/>
  <c r="K80" s="1"/>
  <c r="J62"/>
  <c r="L62" s="1"/>
  <c r="I62"/>
  <c r="K62" s="1"/>
  <c r="J59"/>
  <c r="L59" s="1"/>
  <c r="I59"/>
  <c r="K59" s="1"/>
  <c r="J58"/>
  <c r="L58" s="1"/>
  <c r="I58"/>
  <c r="K58" s="1"/>
  <c r="J61"/>
  <c r="L61" s="1"/>
  <c r="I61"/>
  <c r="K61" s="1"/>
  <c r="J57"/>
  <c r="L57" s="1"/>
  <c r="I57"/>
  <c r="K57" s="1"/>
  <c r="J56"/>
  <c r="L56" s="1"/>
  <c r="I56"/>
  <c r="K56" s="1"/>
  <c r="J55"/>
  <c r="L55" s="1"/>
  <c r="I55"/>
  <c r="K55" s="1"/>
  <c r="J50"/>
  <c r="L50" s="1"/>
  <c r="I50"/>
  <c r="K50" s="1"/>
  <c r="J48"/>
  <c r="L48" s="1"/>
  <c r="I48"/>
  <c r="K48" s="1"/>
  <c r="J47"/>
  <c r="L47" s="1"/>
  <c r="I47"/>
  <c r="K47" s="1"/>
  <c r="J45"/>
  <c r="L45" s="1"/>
  <c r="I45"/>
  <c r="K45" s="1"/>
  <c r="I44"/>
  <c r="K44" s="1"/>
  <c r="J44"/>
  <c r="L44" s="1"/>
  <c r="J43"/>
  <c r="L43" s="1"/>
  <c r="I43"/>
  <c r="K43" s="1"/>
  <c r="J36"/>
  <c r="I36"/>
  <c r="J34"/>
  <c r="L34" s="1"/>
  <c r="I34"/>
  <c r="K34" s="1"/>
  <c r="J42"/>
  <c r="L42" s="1"/>
  <c r="I42"/>
  <c r="K42" s="1"/>
  <c r="J41"/>
  <c r="L41" s="1"/>
  <c r="I41"/>
  <c r="K41" s="1"/>
  <c r="J26"/>
  <c r="L26" s="1"/>
  <c r="I26"/>
  <c r="K26" s="1"/>
  <c r="J22"/>
  <c r="L22" s="1"/>
  <c r="I22"/>
  <c r="K22" s="1"/>
  <c r="J25"/>
  <c r="L25" s="1"/>
  <c r="I25"/>
  <c r="K25" s="1"/>
  <c r="J24"/>
  <c r="L24" s="1"/>
  <c r="I24"/>
  <c r="K24" s="1"/>
  <c r="J17"/>
  <c r="L17" s="1"/>
  <c r="I17"/>
  <c r="K17" s="1"/>
  <c r="J16"/>
  <c r="I16"/>
  <c r="J15"/>
  <c r="L15" s="1"/>
  <c r="I15"/>
  <c r="K15" s="1"/>
  <c r="J14"/>
  <c r="L14" s="1"/>
  <c r="I14"/>
  <c r="K14" s="1"/>
  <c r="J13"/>
  <c r="I13"/>
  <c r="J12"/>
  <c r="L12" s="1"/>
  <c r="I12"/>
  <c r="K12" s="1"/>
  <c r="J11"/>
  <c r="L11" s="1"/>
  <c r="I11"/>
  <c r="K11" s="1"/>
  <c r="J9"/>
  <c r="I9"/>
  <c r="J8"/>
  <c r="L8" s="1"/>
  <c r="I8"/>
  <c r="K8" s="1"/>
  <c r="J7"/>
  <c r="L7" s="1"/>
  <c r="I7"/>
  <c r="K7" s="1"/>
  <c r="J6"/>
  <c r="L6" s="1"/>
  <c r="I6"/>
  <c r="K6" s="1"/>
  <c r="J5"/>
  <c r="L5" s="1"/>
  <c r="I5"/>
  <c r="K5" s="1"/>
  <c r="J4"/>
  <c r="L4" s="1"/>
  <c r="I4"/>
  <c r="K4" s="1"/>
  <c r="D91"/>
  <c r="D64"/>
  <c r="D16" l="1"/>
  <c r="M16" i="4" s="1"/>
  <c r="N16" s="1"/>
  <c r="O16" s="1"/>
  <c r="F5" l="1"/>
  <c r="G5" s="1"/>
  <c r="K16" i="1"/>
  <c r="L16"/>
  <c r="D51"/>
  <c r="K112"/>
  <c r="K108" l="1"/>
  <c r="D46" l="1"/>
  <c r="D52" l="1"/>
  <c r="D36"/>
  <c r="K36" l="1"/>
  <c r="L36"/>
  <c r="D35"/>
  <c r="D38"/>
  <c r="D85"/>
  <c r="D60" l="1"/>
  <c r="K111"/>
  <c r="K105"/>
  <c r="K104"/>
  <c r="D27"/>
  <c r="D28" l="1"/>
  <c r="D23" l="1"/>
  <c r="K114" l="1"/>
  <c r="K113"/>
  <c r="K110"/>
  <c r="K109"/>
  <c r="K107"/>
  <c r="D13" l="1"/>
  <c r="D9"/>
  <c r="K9" l="1"/>
  <c r="L9"/>
  <c r="K13"/>
  <c r="L13"/>
  <c r="M18" i="4"/>
  <c r="N18" s="1"/>
  <c r="M14"/>
  <c r="N14" s="1"/>
  <c r="O14" s="1"/>
  <c r="D19" i="1"/>
  <c r="D18"/>
  <c r="D37"/>
  <c r="D10"/>
  <c r="F7" i="4" l="1"/>
  <c r="G7" s="1"/>
  <c r="O18"/>
  <c r="F3"/>
  <c r="G3" s="1"/>
</calcChain>
</file>

<file path=xl/sharedStrings.xml><?xml version="1.0" encoding="utf-8"?>
<sst xmlns="http://schemas.openxmlformats.org/spreadsheetml/2006/main" count="438" uniqueCount="193">
  <si>
    <t>Cable</t>
  </si>
  <si>
    <t>Terminal 1</t>
  </si>
  <si>
    <t>Terminal 2</t>
  </si>
  <si>
    <t>Amps</t>
  </si>
  <si>
    <t>Voltage Drop</t>
  </si>
  <si>
    <t>ID#</t>
  </si>
  <si>
    <t>AGW</t>
  </si>
  <si>
    <t>Color</t>
  </si>
  <si>
    <t>Length</t>
  </si>
  <si>
    <t>Use</t>
  </si>
  <si>
    <t>Type</t>
  </si>
  <si>
    <t>Max</t>
  </si>
  <si>
    <t>Typ</t>
  </si>
  <si>
    <t>black</t>
  </si>
  <si>
    <t>3/8" ring</t>
  </si>
  <si>
    <t>battery 1 -</t>
  </si>
  <si>
    <t>battery 2 -</t>
  </si>
  <si>
    <t>red</t>
  </si>
  <si>
    <t>battery 1 +</t>
  </si>
  <si>
    <t>battery 2 +</t>
  </si>
  <si>
    <t>butt</t>
  </si>
  <si>
    <t>1-2-B Position 1</t>
  </si>
  <si>
    <t>alternator output</t>
  </si>
  <si>
    <t>1-2-B Position 2</t>
  </si>
  <si>
    <t>250A MRBF reserve bank +</t>
  </si>
  <si>
    <t>1-2-B Position C</t>
  </si>
  <si>
    <t>60A MRBF 1-2-B Position C</t>
  </si>
  <si>
    <t>battery3 +</t>
  </si>
  <si>
    <t xml:space="preserve"> battery 4 +</t>
  </si>
  <si>
    <t>battery 3-</t>
  </si>
  <si>
    <t>battery 4 -</t>
  </si>
  <si>
    <t>engine starter ground</t>
  </si>
  <si>
    <t>reserve battery -</t>
  </si>
  <si>
    <t>power post ground</t>
  </si>
  <si>
    <t>AC/DC charger +</t>
  </si>
  <si>
    <t>AC/DC charger -</t>
  </si>
  <si>
    <t>SmartGauge +</t>
  </si>
  <si>
    <t>reserve battery +</t>
  </si>
  <si>
    <t>SmartGauge -</t>
  </si>
  <si>
    <t>Xantrex Echo +</t>
  </si>
  <si>
    <t>inline 20A</t>
  </si>
  <si>
    <t>bilge 1 pump</t>
  </si>
  <si>
    <t>bilge 2 pump</t>
  </si>
  <si>
    <t>MC-614 #12</t>
  </si>
  <si>
    <t>MC-614 #7 and 8</t>
  </si>
  <si>
    <t>MC-614 #5 and 6</t>
  </si>
  <si>
    <t>gray</t>
  </si>
  <si>
    <t>MC-614 #13</t>
  </si>
  <si>
    <t>alternator field</t>
  </si>
  <si>
    <t>alternator case</t>
  </si>
  <si>
    <t>Xantrex Echo -</t>
  </si>
  <si>
    <t>house bank busbar -</t>
  </si>
  <si>
    <t>#8 ring</t>
  </si>
  <si>
    <t>1/4" push</t>
  </si>
  <si>
    <t>BMV-700</t>
  </si>
  <si>
    <t>Total Circuit Length In Feet</t>
  </si>
  <si>
    <t>4 AWG Total Feet</t>
  </si>
  <si>
    <t>1 AWG Total Feet</t>
  </si>
  <si>
    <t>16 AWG Total Feet</t>
  </si>
  <si>
    <t>14 AWG Total Feet</t>
  </si>
  <si>
    <t>bilge 1 pump -</t>
  </si>
  <si>
    <t>bilge 2 pump -</t>
  </si>
  <si>
    <t>5/16" ring</t>
  </si>
  <si>
    <t>1 AWG Total Red</t>
  </si>
  <si>
    <t>1 AWG Total BLK</t>
  </si>
  <si>
    <t>4 AWG Total BLK</t>
  </si>
  <si>
    <t>4 AWG Total Red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</si>
  <si>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</si>
  <si>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</si>
  <si>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</si>
  <si>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</si>
  <si>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</si>
  <si>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</si>
  <si>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</si>
  <si>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</si>
  <si>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5/16" Ring</t>
  </si>
  <si>
    <t>3/8" Ring</t>
  </si>
  <si>
    <t>Length in FT</t>
  </si>
  <si>
    <t>Gauge</t>
  </si>
  <si>
    <t>10 AWG Total Feet</t>
  </si>
  <si>
    <t>6 AWG Total Feet</t>
  </si>
  <si>
    <t>6 AWG Total Red</t>
  </si>
  <si>
    <t>6 AWG Total BLK</t>
  </si>
  <si>
    <t>10 AWG Total Red</t>
  </si>
  <si>
    <t>10 AWG Total BLK</t>
  </si>
  <si>
    <t>14 AWG Total BLK</t>
  </si>
  <si>
    <t>14 AWG Total Red</t>
  </si>
  <si>
    <t>MC-TS-B</t>
  </si>
  <si>
    <t>MC-TS-A</t>
  </si>
  <si>
    <t>existing</t>
  </si>
  <si>
    <t>Conn Kit</t>
  </si>
  <si>
    <t>N/A</t>
  </si>
  <si>
    <t>10 AWG</t>
  </si>
  <si>
    <t>6 AWG</t>
  </si>
  <si>
    <t>8 AWG Total Red</t>
  </si>
  <si>
    <t>8 AWG Total BLK</t>
  </si>
  <si>
    <t>8 AWG Total Feet</t>
  </si>
  <si>
    <t>8 AWG</t>
  </si>
  <si>
    <t>00</t>
  </si>
  <si>
    <t>TYP Amperage</t>
  </si>
  <si>
    <t>Total Circuit (positive plus negative conductors)</t>
  </si>
  <si>
    <t>inline 3A</t>
  </si>
  <si>
    <t>shunt UTP</t>
  </si>
  <si>
    <t>shunt +B1</t>
  </si>
  <si>
    <t>RJ6</t>
  </si>
  <si>
    <t>#10 ring</t>
  </si>
  <si>
    <t>#10 Ring</t>
  </si>
  <si>
    <t>Voltage Drop, house battery bank to reserve battery via Echo Charge - 10 AWG</t>
  </si>
  <si>
    <t>shunt battery side</t>
  </si>
  <si>
    <t>shunt load side</t>
  </si>
  <si>
    <t>engine starter +</t>
  </si>
  <si>
    <t>UTP</t>
  </si>
  <si>
    <t>PIN</t>
  </si>
  <si>
    <t>Voltage Drop, alternator to house battery bank, round trip - 1 AWG</t>
  </si>
  <si>
    <t>Voltage Drop, reserve battery to starter, round trip - 1 AWG</t>
  </si>
  <si>
    <t>Voltage Drop, house battery bank to starter, round trip - 1 AWG</t>
  </si>
  <si>
    <t>BS Terminal Fuse Block 20A battery 1 +</t>
  </si>
  <si>
    <t>BS Terminal Fuse Block 3A battery 1 +</t>
  </si>
  <si>
    <t>BS Terminal Fuse Block 1A battery 1 +</t>
  </si>
  <si>
    <t>BS Terminal Fuse Block 2A battery 1 +</t>
  </si>
  <si>
    <t>AC/DC Charger chassis ground</t>
  </si>
  <si>
    <t>step down butt</t>
  </si>
  <si>
    <t>Spare AC/DC charger +</t>
  </si>
  <si>
    <t>Connected AC/DC charger +</t>
  </si>
  <si>
    <t>alternator stator (tach)</t>
  </si>
  <si>
    <t>tach at engine control panel</t>
  </si>
  <si>
    <t>"always on" house busbar +</t>
  </si>
  <si>
    <t>50A MRBF "always on" house busbar +</t>
  </si>
  <si>
    <t>250A MRBF battery 1 +</t>
  </si>
  <si>
    <t>Main AC/DC panel DC busbar -</t>
  </si>
  <si>
    <t>bilge 2 level float switch</t>
  </si>
  <si>
    <t>bilge 1 level float switch</t>
  </si>
  <si>
    <t>Main AC/DC panel bilge 1 toggle switch</t>
  </si>
  <si>
    <t>Main AC/DC panel bilge 2 toggle switch</t>
  </si>
  <si>
    <t>1/4" ring</t>
  </si>
  <si>
    <t>1/4" Ring</t>
  </si>
  <si>
    <t>8 AWG Total GRN</t>
  </si>
  <si>
    <t>green</t>
  </si>
  <si>
    <t>black - existing</t>
  </si>
  <si>
    <t>alternator ground</t>
  </si>
  <si>
    <t>engine harness busbar -</t>
  </si>
  <si>
    <t>TYP</t>
  </si>
  <si>
    <t>MAX</t>
  </si>
  <si>
    <t>AMPS TABLE</t>
  </si>
  <si>
    <t>AC/DC Charger Battery Temp</t>
  </si>
  <si>
    <t>Main AC/DC panel DC +</t>
  </si>
  <si>
    <t>Main AC/DC panel DC Backlight -</t>
  </si>
  <si>
    <t>step butt</t>
  </si>
  <si>
    <t>VHF Negative Pigtail</t>
  </si>
  <si>
    <t>inline 20A for reserve battery</t>
  </si>
  <si>
    <t>Positive Voltage Sense Wire MC-614 #9</t>
  </si>
  <si>
    <t>terminal block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</si>
  <si>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</si>
  <si>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</si>
  <si>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</si>
  <si>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</si>
  <si>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</si>
  <si>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</si>
  <si>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</si>
  <si>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VHF Positive Pigtail with in-line ?A fuse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</si>
  <si>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</si>
  <si>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</si>
  <si>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</si>
  <si>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</si>
  <si>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</si>
  <si>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Alternator to house battery bank, round trip - 1 AWG</t>
  </si>
  <si>
    <t>Reserve battery to starter, round trip - 1 AWG</t>
  </si>
  <si>
    <t>House battery bank to starter, round trip - 1 AWG</t>
  </si>
  <si>
    <t>House battery bank to reserve battery via Echo Charge - 10 AWG</t>
  </si>
  <si>
    <t>Ohms / 1000 feet</t>
  </si>
  <si>
    <t>Ohms / foot</t>
  </si>
  <si>
    <t>Ohms / Connection</t>
  </si>
  <si>
    <t>Total Circuit (positive plus negative conductors plus connections)</t>
  </si>
  <si>
    <t>ignition switch on engine control panel</t>
  </si>
  <si>
    <t>MC-614 #1 (part of harness)</t>
  </si>
  <si>
    <t>MC-614 #3 (part of harness)</t>
  </si>
  <si>
    <t>MC-614 #2 (part of harness)</t>
  </si>
  <si>
    <t>MC-614 #4 (part of harness)</t>
  </si>
  <si>
    <t>Light Gray</t>
  </si>
  <si>
    <t>White</t>
  </si>
  <si>
    <t>Blue</t>
  </si>
  <si>
    <t>Red</t>
  </si>
  <si>
    <t>Brown</t>
  </si>
  <si>
    <t>inline 10A at alternator output</t>
  </si>
  <si>
    <t>AWG</t>
  </si>
  <si>
    <t>Wire Resistance at 20 deg C</t>
  </si>
  <si>
    <t>Moved To AIS, VHF, Last Watch</t>
  </si>
  <si>
    <t>shunt +B2</t>
  </si>
  <si>
    <t>16/18</t>
  </si>
  <si>
    <t>14/18</t>
  </si>
  <si>
    <t>16 AWG</t>
  </si>
  <si>
    <t>s/v DELLA JEAN     11-27-2024     ELECTRICAL SYSTEM UPGRADE     Rev K</t>
  </si>
  <si>
    <t>s/v DELLA JEAN    11-27-2024     ELECTRICAL SYSTEM UPGRADE     Rev K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</si>
</sst>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_);[Red]\(#,##0.000\)"/>
    <numFmt numFmtId="166" formatCode="0.000_);[Red]\(0.000\)"/>
  </numFmts>
  <fonts count="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40" fontId="3" fillId="13" borderId="9" xfId="0" applyNumberFormat="1" applyFont="1" applyFill="1" applyBorder="1" applyAlignment="1">
      <alignment horizontal="center"/>
    </xf>
    <xf numFmtId="164" fontId="3" fillId="13" borderId="9" xfId="0" applyNumberFormat="1" applyFont="1" applyFill="1" applyBorder="1" applyAlignment="1">
      <alignment horizontal="center"/>
    </xf>
    <xf numFmtId="164" fontId="3" fillId="13" borderId="11" xfId="0" applyNumberFormat="1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6" borderId="26" xfId="0" applyFont="1" applyFill="1" applyBorder="1" applyAlignment="1">
      <alignment horizontal="center" vertical="center" wrapText="1"/>
    </xf>
    <xf numFmtId="165" fontId="2" fillId="16" borderId="32" xfId="0" applyNumberFormat="1" applyFont="1" applyFill="1" applyBorder="1" applyAlignment="1">
      <alignment horizontal="center" vertical="center" wrapText="1"/>
    </xf>
    <xf numFmtId="166" fontId="2" fillId="16" borderId="19" xfId="0" applyNumberFormat="1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2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6" borderId="19" xfId="0" applyNumberFormat="1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/>
    </xf>
    <xf numFmtId="0" fontId="2" fillId="0" borderId="40" xfId="0" applyFont="1" applyBorder="1" applyAlignment="1"/>
    <xf numFmtId="0" fontId="2" fillId="0" borderId="0" xfId="0" applyFont="1" applyBorder="1" applyAlignment="1"/>
    <xf numFmtId="0" fontId="2" fillId="17" borderId="11" xfId="0" applyFont="1" applyFill="1" applyBorder="1" applyAlignment="1">
      <alignment horizontal="center" vertical="center" wrapText="1"/>
    </xf>
    <xf numFmtId="10" fontId="2" fillId="17" borderId="16" xfId="0" applyNumberFormat="1" applyFont="1" applyFill="1" applyBorder="1" applyAlignment="1">
      <alignment horizontal="center"/>
    </xf>
    <xf numFmtId="0" fontId="2" fillId="17" borderId="46" xfId="0" applyFont="1" applyFill="1" applyBorder="1" applyAlignment="1">
      <alignment horizontal="center" vertical="center"/>
    </xf>
    <xf numFmtId="10" fontId="2" fillId="17" borderId="46" xfId="0" applyNumberFormat="1" applyFont="1" applyFill="1" applyBorder="1" applyAlignment="1">
      <alignment horizontal="center"/>
    </xf>
    <xf numFmtId="0" fontId="2" fillId="17" borderId="47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5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6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9" xfId="0" applyFont="1" applyFill="1" applyBorder="1"/>
    <xf numFmtId="0" fontId="2" fillId="16" borderId="12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10" fontId="2" fillId="16" borderId="50" xfId="0" applyNumberFormat="1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23" xfId="0" applyFont="1" applyFill="1" applyBorder="1" applyAlignment="1">
      <alignment horizontal="center" vertical="center" wrapText="1"/>
    </xf>
    <xf numFmtId="10" fontId="2" fillId="16" borderId="46" xfId="0" applyNumberFormat="1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166" fontId="2" fillId="17" borderId="45" xfId="0" applyNumberFormat="1" applyFont="1" applyFill="1" applyBorder="1" applyAlignment="1">
      <alignment horizontal="center" vertical="center"/>
    </xf>
    <xf numFmtId="166" fontId="2" fillId="17" borderId="48" xfId="0" applyNumberFormat="1" applyFont="1" applyFill="1" applyBorder="1" applyAlignment="1">
      <alignment horizontal="center" vertical="center"/>
    </xf>
    <xf numFmtId="0" fontId="2" fillId="17" borderId="49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4" borderId="14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19" borderId="51" xfId="0" applyNumberFormat="1" applyFont="1" applyFill="1" applyBorder="1" applyAlignment="1">
      <alignment horizontal="center"/>
    </xf>
    <xf numFmtId="164" fontId="2" fillId="19" borderId="4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2" fillId="14" borderId="42" xfId="0" applyFont="1" applyFill="1" applyBorder="1" applyAlignment="1">
      <alignment horizontal="center"/>
    </xf>
    <xf numFmtId="0" fontId="2" fillId="14" borderId="41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2" borderId="42" xfId="0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15" borderId="42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8"/>
  <sheetViews>
    <sheetView tabSelected="1" zoomScaleNormal="100" workbookViewId="0">
      <selection activeCell="A2" sqref="A2:D2"/>
    </sheetView>
  </sheetViews>
  <sheetFormatPr defaultColWidth="10.7109375" defaultRowHeight="18.75"/>
  <cols>
    <col min="1" max="2" width="10.7109375" style="5"/>
    <col min="3" max="3" width="18.7109375" style="5" customWidth="1"/>
    <col min="4" max="4" width="16.7109375" style="5" customWidth="1"/>
    <col min="5" max="5" width="44.7109375" style="1" customWidth="1"/>
    <col min="6" max="6" width="16.7109375" style="1" customWidth="1"/>
    <col min="7" max="7" width="12.7109375" style="1" customWidth="1"/>
    <col min="8" max="8" width="44.7109375" style="1" customWidth="1"/>
    <col min="9" max="9" width="10.7109375" style="5"/>
    <col min="10" max="10" width="14.7109375" style="5" customWidth="1"/>
    <col min="11" max="12" width="18.7109375" style="5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>
      <c r="A1" s="199" t="s">
        <v>191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1:12" ht="19.5" thickBot="1">
      <c r="A2" s="207" t="s">
        <v>0</v>
      </c>
      <c r="B2" s="207"/>
      <c r="C2" s="207"/>
      <c r="D2" s="207"/>
      <c r="E2" s="207" t="s">
        <v>1</v>
      </c>
      <c r="F2" s="207"/>
      <c r="G2" s="207" t="s">
        <v>2</v>
      </c>
      <c r="H2" s="207"/>
      <c r="I2" s="208" t="s">
        <v>3</v>
      </c>
      <c r="J2" s="209"/>
      <c r="K2" s="205" t="s">
        <v>4</v>
      </c>
      <c r="L2" s="206"/>
    </row>
    <row r="3" spans="1:12" ht="19.5" thickBot="1">
      <c r="A3" s="2" t="s">
        <v>5</v>
      </c>
      <c r="B3" s="78" t="s">
        <v>184</v>
      </c>
      <c r="C3" s="2" t="s">
        <v>7</v>
      </c>
      <c r="D3" s="2" t="s">
        <v>77</v>
      </c>
      <c r="E3" s="2" t="s">
        <v>9</v>
      </c>
      <c r="F3" s="2" t="s">
        <v>10</v>
      </c>
      <c r="G3" s="2" t="s">
        <v>10</v>
      </c>
      <c r="H3" s="2" t="s">
        <v>9</v>
      </c>
      <c r="I3" s="3" t="s">
        <v>11</v>
      </c>
      <c r="J3" s="3" t="s">
        <v>12</v>
      </c>
      <c r="K3" s="3" t="s">
        <v>11</v>
      </c>
      <c r="L3" s="117" t="s">
        <v>12</v>
      </c>
    </row>
    <row r="4" spans="1:12">
      <c r="A4" s="9">
        <v>1</v>
      </c>
      <c r="B4" s="124">
        <v>1</v>
      </c>
      <c r="C4" s="10" t="s">
        <v>17</v>
      </c>
      <c r="D4" s="11">
        <f>17.5-8.5</f>
        <v>9</v>
      </c>
      <c r="E4" s="10" t="s">
        <v>22</v>
      </c>
      <c r="F4" s="105" t="s">
        <v>134</v>
      </c>
      <c r="G4" s="91" t="s">
        <v>62</v>
      </c>
      <c r="H4" s="10" t="s">
        <v>128</v>
      </c>
      <c r="I4" s="12">
        <f>F127</f>
        <v>105</v>
      </c>
      <c r="J4" s="12">
        <f>G127</f>
        <v>75</v>
      </c>
      <c r="K4" s="14">
        <f t="shared" ref="K4:K9" si="0">I4*$D$121*D4</f>
        <v>0.11708550000000001</v>
      </c>
      <c r="L4" s="38">
        <f t="shared" ref="L4:L9" si="1">J4*$D$121*D4</f>
        <v>8.3632499999999999E-2</v>
      </c>
    </row>
    <row r="5" spans="1:12">
      <c r="A5" s="13">
        <v>2</v>
      </c>
      <c r="B5" s="125">
        <v>1</v>
      </c>
      <c r="C5" s="2" t="s">
        <v>17</v>
      </c>
      <c r="D5" s="8">
        <v>1.167</v>
      </c>
      <c r="E5" s="78" t="s">
        <v>128</v>
      </c>
      <c r="F5" s="92" t="s">
        <v>62</v>
      </c>
      <c r="G5" s="97" t="s">
        <v>14</v>
      </c>
      <c r="H5" s="78" t="s">
        <v>21</v>
      </c>
      <c r="I5" s="3">
        <f>$F$127</f>
        <v>105</v>
      </c>
      <c r="J5" s="3">
        <f>$G$127</f>
        <v>75</v>
      </c>
      <c r="K5" s="4">
        <f t="shared" si="0"/>
        <v>1.5182086500000001E-2</v>
      </c>
      <c r="L5" s="39">
        <f t="shared" si="1"/>
        <v>1.08443475E-2</v>
      </c>
    </row>
    <row r="6" spans="1:12">
      <c r="A6" s="13">
        <v>3</v>
      </c>
      <c r="B6" s="125">
        <v>1</v>
      </c>
      <c r="C6" s="78" t="s">
        <v>17</v>
      </c>
      <c r="D6" s="8">
        <v>1.167</v>
      </c>
      <c r="E6" s="78" t="s">
        <v>21</v>
      </c>
      <c r="F6" s="97" t="s">
        <v>14</v>
      </c>
      <c r="G6" s="106" t="s">
        <v>134</v>
      </c>
      <c r="H6" s="78" t="s">
        <v>126</v>
      </c>
      <c r="I6" s="3">
        <f>$F$127</f>
        <v>105</v>
      </c>
      <c r="J6" s="3">
        <f>$G$127</f>
        <v>75</v>
      </c>
      <c r="K6" s="4">
        <f t="shared" si="0"/>
        <v>1.5182086500000001E-2</v>
      </c>
      <c r="L6" s="39">
        <f t="shared" si="1"/>
        <v>1.08443475E-2</v>
      </c>
    </row>
    <row r="7" spans="1:12">
      <c r="A7" s="13">
        <v>4</v>
      </c>
      <c r="B7" s="125">
        <v>1</v>
      </c>
      <c r="C7" s="2" t="s">
        <v>17</v>
      </c>
      <c r="D7" s="8">
        <v>12.25</v>
      </c>
      <c r="E7" s="2" t="s">
        <v>23</v>
      </c>
      <c r="F7" s="97" t="s">
        <v>14</v>
      </c>
      <c r="G7" s="92" t="s">
        <v>62</v>
      </c>
      <c r="H7" s="2" t="s">
        <v>24</v>
      </c>
      <c r="I7" s="3">
        <f>$F$127</f>
        <v>105</v>
      </c>
      <c r="J7" s="3">
        <f>$G$127</f>
        <v>75</v>
      </c>
      <c r="K7" s="4">
        <f t="shared" si="0"/>
        <v>0.159366375</v>
      </c>
      <c r="L7" s="39">
        <f t="shared" si="1"/>
        <v>0.11383312500000001</v>
      </c>
    </row>
    <row r="8" spans="1:12">
      <c r="A8" s="13">
        <v>5</v>
      </c>
      <c r="B8" s="125">
        <v>1</v>
      </c>
      <c r="C8" s="2" t="s">
        <v>17</v>
      </c>
      <c r="D8" s="8">
        <f>15.5-7.75</f>
        <v>7.75</v>
      </c>
      <c r="E8" s="2" t="s">
        <v>25</v>
      </c>
      <c r="F8" s="97" t="s">
        <v>14</v>
      </c>
      <c r="G8" s="92" t="s">
        <v>62</v>
      </c>
      <c r="H8" s="2" t="s">
        <v>110</v>
      </c>
      <c r="I8" s="3">
        <f>$F$127</f>
        <v>105</v>
      </c>
      <c r="J8" s="3">
        <f>$G$127</f>
        <v>75</v>
      </c>
      <c r="K8" s="4">
        <f t="shared" si="0"/>
        <v>0.100823625</v>
      </c>
      <c r="L8" s="39">
        <f t="shared" si="1"/>
        <v>7.2016875000000008E-2</v>
      </c>
    </row>
    <row r="9" spans="1:12" ht="19.5" thickBot="1">
      <c r="A9" s="13">
        <v>7</v>
      </c>
      <c r="B9" s="125">
        <v>1</v>
      </c>
      <c r="C9" s="2" t="s">
        <v>17</v>
      </c>
      <c r="D9" s="8">
        <f>12/12</f>
        <v>1</v>
      </c>
      <c r="E9" s="2" t="s">
        <v>18</v>
      </c>
      <c r="F9" s="92" t="s">
        <v>62</v>
      </c>
      <c r="G9" s="92" t="s">
        <v>62</v>
      </c>
      <c r="H9" s="2" t="s">
        <v>19</v>
      </c>
      <c r="I9" s="3">
        <f>$F$127</f>
        <v>105</v>
      </c>
      <c r="J9" s="3">
        <f>$G$127</f>
        <v>75</v>
      </c>
      <c r="K9" s="37">
        <f t="shared" si="0"/>
        <v>1.30095E-2</v>
      </c>
      <c r="L9" s="40">
        <f t="shared" si="1"/>
        <v>9.2925000000000004E-3</v>
      </c>
    </row>
    <row r="10" spans="1:12" ht="19.5" thickBot="1">
      <c r="A10" s="195" t="s">
        <v>63</v>
      </c>
      <c r="B10" s="196"/>
      <c r="C10" s="23"/>
      <c r="D10" s="24">
        <f>SUM(D4:D9)</f>
        <v>32.334000000000003</v>
      </c>
      <c r="E10" s="23"/>
      <c r="F10" s="23"/>
      <c r="G10" s="23"/>
      <c r="H10" s="23"/>
      <c r="I10" s="23"/>
      <c r="J10" s="23"/>
      <c r="K10" s="73"/>
      <c r="L10" s="153"/>
    </row>
    <row r="11" spans="1:12">
      <c r="A11" s="13">
        <v>8</v>
      </c>
      <c r="B11" s="125">
        <v>1</v>
      </c>
      <c r="C11" s="2" t="s">
        <v>13</v>
      </c>
      <c r="D11" s="8">
        <v>0.58299999999999996</v>
      </c>
      <c r="E11" s="2" t="s">
        <v>16</v>
      </c>
      <c r="F11" s="91" t="s">
        <v>62</v>
      </c>
      <c r="G11" s="91" t="s">
        <v>62</v>
      </c>
      <c r="H11" s="2" t="s">
        <v>28</v>
      </c>
      <c r="I11" s="3">
        <f t="shared" ref="I11:I17" si="2">$F$127</f>
        <v>105</v>
      </c>
      <c r="J11" s="3">
        <f t="shared" ref="J11:J17" si="3">$G$127</f>
        <v>75</v>
      </c>
      <c r="K11" s="14">
        <f t="shared" ref="K11:K17" si="4">I11*$D$121*D11</f>
        <v>7.5845384999999998E-3</v>
      </c>
      <c r="L11" s="38">
        <f t="shared" ref="L11:L17" si="5">J11*$D$121*D11</f>
        <v>5.4175274999999998E-3</v>
      </c>
    </row>
    <row r="12" spans="1:12">
      <c r="A12" s="13">
        <v>9</v>
      </c>
      <c r="B12" s="125">
        <v>1</v>
      </c>
      <c r="C12" s="2" t="s">
        <v>13</v>
      </c>
      <c r="D12" s="8">
        <v>0.58299999999999996</v>
      </c>
      <c r="E12" s="2" t="s">
        <v>15</v>
      </c>
      <c r="F12" s="92" t="s">
        <v>62</v>
      </c>
      <c r="G12" s="92" t="s">
        <v>62</v>
      </c>
      <c r="H12" s="2" t="s">
        <v>27</v>
      </c>
      <c r="I12" s="3">
        <f t="shared" si="2"/>
        <v>105</v>
      </c>
      <c r="J12" s="3">
        <f t="shared" si="3"/>
        <v>75</v>
      </c>
      <c r="K12" s="4">
        <f t="shared" si="4"/>
        <v>7.5845384999999998E-3</v>
      </c>
      <c r="L12" s="39">
        <f t="shared" si="5"/>
        <v>5.4175274999999998E-3</v>
      </c>
    </row>
    <row r="13" spans="1:12">
      <c r="A13" s="13">
        <v>10</v>
      </c>
      <c r="B13" s="125">
        <v>1</v>
      </c>
      <c r="C13" s="2" t="s">
        <v>13</v>
      </c>
      <c r="D13" s="8">
        <f t="shared" ref="D13" si="6">12/12</f>
        <v>1</v>
      </c>
      <c r="E13" s="2" t="s">
        <v>29</v>
      </c>
      <c r="F13" s="92" t="s">
        <v>62</v>
      </c>
      <c r="G13" s="92" t="s">
        <v>62</v>
      </c>
      <c r="H13" s="2" t="s">
        <v>30</v>
      </c>
      <c r="I13" s="3">
        <f t="shared" si="2"/>
        <v>105</v>
      </c>
      <c r="J13" s="3">
        <f t="shared" si="3"/>
        <v>75</v>
      </c>
      <c r="K13" s="4">
        <f t="shared" si="4"/>
        <v>1.30095E-2</v>
      </c>
      <c r="L13" s="39">
        <f t="shared" si="5"/>
        <v>9.2925000000000004E-3</v>
      </c>
    </row>
    <row r="14" spans="1:12">
      <c r="A14" s="13">
        <v>11</v>
      </c>
      <c r="B14" s="125">
        <v>1</v>
      </c>
      <c r="C14" s="2" t="s">
        <v>13</v>
      </c>
      <c r="D14" s="8">
        <v>2.67</v>
      </c>
      <c r="E14" s="2" t="s">
        <v>30</v>
      </c>
      <c r="F14" s="92" t="s">
        <v>62</v>
      </c>
      <c r="G14" s="97" t="s">
        <v>14</v>
      </c>
      <c r="H14" s="2" t="s">
        <v>108</v>
      </c>
      <c r="I14" s="3">
        <f t="shared" si="2"/>
        <v>105</v>
      </c>
      <c r="J14" s="3">
        <f t="shared" si="3"/>
        <v>75</v>
      </c>
      <c r="K14" s="4">
        <f t="shared" si="4"/>
        <v>3.4735364999999997E-2</v>
      </c>
      <c r="L14" s="39">
        <f t="shared" si="5"/>
        <v>2.4810974999999999E-2</v>
      </c>
    </row>
    <row r="15" spans="1:12">
      <c r="A15" s="13">
        <v>12</v>
      </c>
      <c r="B15" s="125">
        <v>1</v>
      </c>
      <c r="C15" s="78" t="s">
        <v>13</v>
      </c>
      <c r="D15" s="8">
        <v>1</v>
      </c>
      <c r="E15" s="78" t="s">
        <v>109</v>
      </c>
      <c r="F15" s="97" t="s">
        <v>14</v>
      </c>
      <c r="G15" s="106" t="s">
        <v>134</v>
      </c>
      <c r="H15" s="78" t="s">
        <v>51</v>
      </c>
      <c r="I15" s="3">
        <f t="shared" si="2"/>
        <v>105</v>
      </c>
      <c r="J15" s="3">
        <f t="shared" si="3"/>
        <v>75</v>
      </c>
      <c r="K15" s="4">
        <f t="shared" si="4"/>
        <v>1.30095E-2</v>
      </c>
      <c r="L15" s="39">
        <f t="shared" si="5"/>
        <v>9.2925000000000004E-3</v>
      </c>
    </row>
    <row r="16" spans="1:12">
      <c r="A16" s="13">
        <v>14</v>
      </c>
      <c r="B16" s="125">
        <v>1</v>
      </c>
      <c r="C16" s="2" t="s">
        <v>13</v>
      </c>
      <c r="D16" s="8">
        <f>(78+24+24+12+12+18)/12+2-3.5</f>
        <v>12.5</v>
      </c>
      <c r="E16" s="78" t="s">
        <v>51</v>
      </c>
      <c r="F16" s="106" t="s">
        <v>134</v>
      </c>
      <c r="G16" s="92" t="s">
        <v>62</v>
      </c>
      <c r="H16" s="2" t="s">
        <v>31</v>
      </c>
      <c r="I16" s="3">
        <f t="shared" si="2"/>
        <v>105</v>
      </c>
      <c r="J16" s="3">
        <f t="shared" si="3"/>
        <v>75</v>
      </c>
      <c r="K16" s="4">
        <f t="shared" si="4"/>
        <v>0.16261875000000001</v>
      </c>
      <c r="L16" s="39">
        <f t="shared" si="5"/>
        <v>0.11615625</v>
      </c>
    </row>
    <row r="17" spans="1:12" ht="19.5" thickBot="1">
      <c r="A17" s="13">
        <v>15</v>
      </c>
      <c r="B17" s="125">
        <v>1</v>
      </c>
      <c r="C17" s="2" t="s">
        <v>13</v>
      </c>
      <c r="D17" s="8">
        <v>6.25</v>
      </c>
      <c r="E17" s="2" t="s">
        <v>32</v>
      </c>
      <c r="F17" s="92" t="s">
        <v>62</v>
      </c>
      <c r="G17" s="106" t="s">
        <v>134</v>
      </c>
      <c r="H17" s="78" t="s">
        <v>51</v>
      </c>
      <c r="I17" s="3">
        <f t="shared" si="2"/>
        <v>105</v>
      </c>
      <c r="J17" s="3">
        <f t="shared" si="3"/>
        <v>75</v>
      </c>
      <c r="K17" s="37">
        <f t="shared" si="4"/>
        <v>8.1309375000000003E-2</v>
      </c>
      <c r="L17" s="40">
        <f t="shared" si="5"/>
        <v>5.8078125000000001E-2</v>
      </c>
    </row>
    <row r="18" spans="1:12" ht="19.5" thickBot="1">
      <c r="A18" s="197" t="s">
        <v>64</v>
      </c>
      <c r="B18" s="198"/>
      <c r="C18" s="26"/>
      <c r="D18" s="27">
        <f>SUM(D11:D17)</f>
        <v>24.585999999999999</v>
      </c>
      <c r="E18" s="26"/>
      <c r="F18" s="26"/>
      <c r="G18" s="26"/>
      <c r="H18" s="26"/>
      <c r="I18" s="26"/>
      <c r="J18" s="26"/>
      <c r="K18" s="28"/>
      <c r="L18" s="42"/>
    </row>
    <row r="19" spans="1:12" ht="19.5" thickBot="1">
      <c r="A19" s="193" t="s">
        <v>57</v>
      </c>
      <c r="B19" s="194"/>
      <c r="C19" s="17"/>
      <c r="D19" s="18">
        <f>SUM(D4:D9,D11:D17)</f>
        <v>56.92</v>
      </c>
      <c r="E19" s="17"/>
      <c r="F19" s="17"/>
      <c r="G19" s="17"/>
      <c r="H19" s="17"/>
      <c r="I19" s="17"/>
      <c r="J19" s="21"/>
      <c r="K19" s="19"/>
      <c r="L19" s="20"/>
    </row>
    <row r="20" spans="1:12" s="43" customFormat="1">
      <c r="A20" s="44"/>
      <c r="B20" s="44"/>
      <c r="C20" s="44"/>
      <c r="D20" s="45"/>
      <c r="E20" s="44"/>
      <c r="F20" s="44"/>
      <c r="G20" s="44"/>
      <c r="H20" s="44"/>
      <c r="I20" s="44"/>
      <c r="J20" s="44"/>
      <c r="K20" s="46"/>
      <c r="L20" s="44"/>
    </row>
    <row r="21" spans="1:12" ht="19.5" thickBot="1">
      <c r="A21" s="74"/>
      <c r="B21" s="74"/>
      <c r="C21" s="74"/>
      <c r="D21" s="74"/>
      <c r="E21" s="74"/>
      <c r="F21" s="74"/>
      <c r="G21" s="74"/>
      <c r="H21" s="74"/>
      <c r="I21" s="75"/>
      <c r="J21" s="75"/>
      <c r="K21" s="76"/>
      <c r="L21" s="75"/>
    </row>
    <row r="22" spans="1:12" ht="19.5" thickBot="1">
      <c r="A22" s="13">
        <v>6</v>
      </c>
      <c r="B22" s="125">
        <v>4</v>
      </c>
      <c r="C22" s="2" t="s">
        <v>17</v>
      </c>
      <c r="D22" s="8">
        <v>10</v>
      </c>
      <c r="E22" s="2" t="s">
        <v>26</v>
      </c>
      <c r="F22" s="92" t="s">
        <v>62</v>
      </c>
      <c r="G22" s="98" t="s">
        <v>105</v>
      </c>
      <c r="H22" s="2" t="s">
        <v>145</v>
      </c>
      <c r="I22" s="3">
        <f>$F$125</f>
        <v>50</v>
      </c>
      <c r="J22" s="3">
        <f>$G$125</f>
        <v>30</v>
      </c>
      <c r="K22" s="4">
        <f>I22*$D$122*D22</f>
        <v>0.12425000000000003</v>
      </c>
      <c r="L22" s="39">
        <f>J22*$D$122*D22</f>
        <v>7.4550000000000005E-2</v>
      </c>
    </row>
    <row r="23" spans="1:12" ht="19.5" thickBot="1">
      <c r="A23" s="195" t="s">
        <v>66</v>
      </c>
      <c r="B23" s="196"/>
      <c r="C23" s="23"/>
      <c r="D23" s="24">
        <f>SUM(D22:D22)</f>
        <v>10</v>
      </c>
      <c r="E23" s="23"/>
      <c r="F23" s="23"/>
      <c r="G23" s="23"/>
      <c r="H23" s="23"/>
      <c r="I23" s="23"/>
      <c r="J23" s="23"/>
      <c r="K23" s="25"/>
      <c r="L23" s="41"/>
    </row>
    <row r="24" spans="1:12">
      <c r="A24" s="13">
        <v>16</v>
      </c>
      <c r="B24" s="125">
        <v>4</v>
      </c>
      <c r="C24" s="2" t="s">
        <v>138</v>
      </c>
      <c r="D24" s="8">
        <v>1.5</v>
      </c>
      <c r="E24" s="2" t="s">
        <v>33</v>
      </c>
      <c r="F24" s="97" t="s">
        <v>14</v>
      </c>
      <c r="G24" s="92" t="s">
        <v>62</v>
      </c>
      <c r="H24" s="2" t="s">
        <v>31</v>
      </c>
      <c r="I24" s="3">
        <f>$F$127</f>
        <v>105</v>
      </c>
      <c r="J24" s="3">
        <f>$G$127</f>
        <v>75</v>
      </c>
      <c r="K24" s="14">
        <f>I24*$D$122*D24</f>
        <v>3.913875E-2</v>
      </c>
      <c r="L24" s="38">
        <f>J24*$D$122*D24</f>
        <v>2.7956250000000002E-2</v>
      </c>
    </row>
    <row r="25" spans="1:12">
      <c r="A25" s="13">
        <v>17</v>
      </c>
      <c r="B25" s="125">
        <v>4</v>
      </c>
      <c r="C25" s="78" t="s">
        <v>138</v>
      </c>
      <c r="D25" s="8">
        <v>1.5</v>
      </c>
      <c r="E25" s="78" t="s">
        <v>139</v>
      </c>
      <c r="F25" s="97" t="s">
        <v>14</v>
      </c>
      <c r="G25" s="92" t="s">
        <v>62</v>
      </c>
      <c r="H25" s="78" t="s">
        <v>33</v>
      </c>
      <c r="I25" s="3">
        <f>$F$127</f>
        <v>105</v>
      </c>
      <c r="J25" s="3">
        <f>$G$127</f>
        <v>75</v>
      </c>
      <c r="K25" s="4">
        <f>I25*$D$122*D25</f>
        <v>3.913875E-2</v>
      </c>
      <c r="L25" s="39">
        <f>J25*$D$122*D25</f>
        <v>2.7956250000000002E-2</v>
      </c>
    </row>
    <row r="26" spans="1:12" ht="19.5" thickBot="1">
      <c r="A26" s="13">
        <v>25</v>
      </c>
      <c r="B26" s="125">
        <v>4</v>
      </c>
      <c r="C26" s="2" t="s">
        <v>13</v>
      </c>
      <c r="D26" s="8">
        <v>13.5</v>
      </c>
      <c r="E26" s="2" t="s">
        <v>129</v>
      </c>
      <c r="F26" s="106" t="s">
        <v>134</v>
      </c>
      <c r="G26" s="106" t="s">
        <v>134</v>
      </c>
      <c r="H26" s="2" t="s">
        <v>51</v>
      </c>
      <c r="I26" s="3">
        <f>$F$125</f>
        <v>50</v>
      </c>
      <c r="J26" s="3">
        <f>$G$125</f>
        <v>30</v>
      </c>
      <c r="K26" s="37">
        <f>I26*$D$122*D26</f>
        <v>0.16773750000000004</v>
      </c>
      <c r="L26" s="40">
        <f>J26*$D$122*D26</f>
        <v>0.10064250000000001</v>
      </c>
    </row>
    <row r="27" spans="1:12" ht="19.5" thickBot="1">
      <c r="A27" s="197" t="s">
        <v>65</v>
      </c>
      <c r="B27" s="198"/>
      <c r="C27" s="26"/>
      <c r="D27" s="27">
        <f>SUM(D24:D26)</f>
        <v>16.5</v>
      </c>
      <c r="E27" s="26"/>
      <c r="F27" s="26"/>
      <c r="G27" s="26"/>
      <c r="H27" s="26"/>
      <c r="I27" s="26"/>
      <c r="J27" s="26"/>
      <c r="K27" s="28"/>
      <c r="L27" s="42"/>
    </row>
    <row r="28" spans="1:12" ht="19.5" thickBot="1">
      <c r="A28" s="193" t="s">
        <v>56</v>
      </c>
      <c r="B28" s="194"/>
      <c r="C28" s="17"/>
      <c r="D28" s="18">
        <f>SUM(D22,D24:D26)</f>
        <v>26.5</v>
      </c>
      <c r="E28" s="17"/>
      <c r="F28" s="17"/>
      <c r="G28" s="17"/>
      <c r="H28" s="17"/>
      <c r="I28" s="17"/>
      <c r="J28" s="21"/>
      <c r="K28" s="19"/>
      <c r="L28" s="20"/>
    </row>
    <row r="29" spans="1:12" s="43" customFormat="1">
      <c r="A29" s="48"/>
      <c r="B29" s="48"/>
      <c r="C29" s="48"/>
      <c r="D29" s="49"/>
      <c r="E29" s="48"/>
      <c r="F29" s="48"/>
      <c r="G29" s="48"/>
      <c r="H29" s="48"/>
      <c r="I29" s="48"/>
      <c r="J29" s="48"/>
      <c r="K29" s="50"/>
      <c r="L29" s="48"/>
    </row>
    <row r="30" spans="1:12" s="51" customFormat="1" ht="19.5" thickBot="1">
      <c r="A30" s="48"/>
      <c r="B30" s="48"/>
      <c r="C30" s="48"/>
      <c r="D30" s="49"/>
      <c r="E30" s="48"/>
      <c r="F30" s="48"/>
      <c r="G30" s="48"/>
      <c r="H30" s="48"/>
      <c r="I30" s="48"/>
      <c r="J30" s="48"/>
      <c r="K30" s="50"/>
      <c r="L30" s="48"/>
    </row>
    <row r="31" spans="1:12" ht="19.5" thickBot="1">
      <c r="A31" s="199" t="s">
        <v>191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1"/>
    </row>
    <row r="32" spans="1:12" ht="19.5" thickBot="1">
      <c r="A32" s="202" t="s">
        <v>0</v>
      </c>
      <c r="B32" s="202"/>
      <c r="C32" s="202"/>
      <c r="D32" s="202"/>
      <c r="E32" s="202" t="s">
        <v>1</v>
      </c>
      <c r="F32" s="202"/>
      <c r="G32" s="202" t="s">
        <v>2</v>
      </c>
      <c r="H32" s="202"/>
      <c r="I32" s="203" t="s">
        <v>3</v>
      </c>
      <c r="J32" s="204"/>
      <c r="K32" s="205" t="s">
        <v>4</v>
      </c>
      <c r="L32" s="206"/>
    </row>
    <row r="33" spans="1:12" ht="19.5" thickBot="1">
      <c r="A33" s="10" t="s">
        <v>5</v>
      </c>
      <c r="B33" s="10" t="s">
        <v>6</v>
      </c>
      <c r="C33" s="10" t="s">
        <v>7</v>
      </c>
      <c r="D33" s="10" t="s">
        <v>8</v>
      </c>
      <c r="E33" s="10" t="s">
        <v>9</v>
      </c>
      <c r="F33" s="10" t="s">
        <v>10</v>
      </c>
      <c r="G33" s="10" t="s">
        <v>10</v>
      </c>
      <c r="H33" s="10" t="s">
        <v>9</v>
      </c>
      <c r="I33" s="12" t="s">
        <v>11</v>
      </c>
      <c r="J33" s="12" t="s">
        <v>12</v>
      </c>
      <c r="K33" s="80" t="s">
        <v>11</v>
      </c>
      <c r="L33" s="116" t="s">
        <v>12</v>
      </c>
    </row>
    <row r="34" spans="1:12" ht="19.5" thickBot="1">
      <c r="A34" s="102">
        <v>21</v>
      </c>
      <c r="B34" s="126">
        <v>6</v>
      </c>
      <c r="C34" s="112" t="s">
        <v>17</v>
      </c>
      <c r="D34" s="63">
        <v>12.5</v>
      </c>
      <c r="E34" s="112" t="s">
        <v>34</v>
      </c>
      <c r="F34" s="114" t="s">
        <v>134</v>
      </c>
      <c r="G34" s="115" t="s">
        <v>62</v>
      </c>
      <c r="H34" s="112" t="s">
        <v>127</v>
      </c>
      <c r="I34" s="113">
        <f>$F$126</f>
        <v>50</v>
      </c>
      <c r="J34" s="113">
        <f>$G$126</f>
        <v>40</v>
      </c>
      <c r="K34" s="37">
        <f>I34*$D$123*D34</f>
        <v>0.24693750000000003</v>
      </c>
      <c r="L34" s="40">
        <f>J34*$D$123*D34</f>
        <v>0.19754999999999998</v>
      </c>
    </row>
    <row r="35" spans="1:12" ht="19.5" thickBot="1">
      <c r="A35" s="195" t="s">
        <v>81</v>
      </c>
      <c r="B35" s="196"/>
      <c r="C35" s="53"/>
      <c r="D35" s="24">
        <f>D34</f>
        <v>12.5</v>
      </c>
      <c r="E35" s="53"/>
      <c r="F35" s="53"/>
      <c r="G35" s="104"/>
      <c r="H35" s="53"/>
      <c r="I35" s="122"/>
      <c r="J35" s="122"/>
      <c r="K35" s="25"/>
      <c r="L35" s="41"/>
    </row>
    <row r="36" spans="1:12" ht="19.5" thickBot="1">
      <c r="A36" s="13">
        <v>22</v>
      </c>
      <c r="B36" s="125">
        <v>6</v>
      </c>
      <c r="C36" s="2" t="s">
        <v>13</v>
      </c>
      <c r="D36" s="8">
        <f>7-2</f>
        <v>5</v>
      </c>
      <c r="E36" s="2" t="s">
        <v>35</v>
      </c>
      <c r="F36" s="106" t="s">
        <v>134</v>
      </c>
      <c r="G36" s="106" t="s">
        <v>134</v>
      </c>
      <c r="H36" s="2" t="s">
        <v>129</v>
      </c>
      <c r="I36" s="3">
        <f>$F$126</f>
        <v>50</v>
      </c>
      <c r="J36" s="3">
        <f>$G$126</f>
        <v>40</v>
      </c>
      <c r="K36" s="14">
        <f>I36*$D$123*D36</f>
        <v>9.8775000000000002E-2</v>
      </c>
      <c r="L36" s="38">
        <f>J36*$D$123*D36</f>
        <v>7.9019999999999993E-2</v>
      </c>
    </row>
    <row r="37" spans="1:12" ht="19.5" thickBot="1">
      <c r="A37" s="197" t="s">
        <v>82</v>
      </c>
      <c r="B37" s="198"/>
      <c r="C37" s="54"/>
      <c r="D37" s="27">
        <f>SUM(D36:D36)</f>
        <v>5</v>
      </c>
      <c r="E37" s="54"/>
      <c r="F37" s="54"/>
      <c r="G37" s="54"/>
      <c r="H37" s="54"/>
      <c r="I37" s="54"/>
      <c r="J37" s="54"/>
      <c r="K37" s="28"/>
      <c r="L37" s="28"/>
    </row>
    <row r="38" spans="1:12" ht="19.5" thickBot="1">
      <c r="A38" s="193" t="s">
        <v>80</v>
      </c>
      <c r="B38" s="194"/>
      <c r="C38" s="30"/>
      <c r="D38" s="18">
        <f>SUM(D34,D36)</f>
        <v>17.5</v>
      </c>
      <c r="E38" s="30"/>
      <c r="F38" s="30"/>
      <c r="G38" s="30"/>
      <c r="H38" s="30"/>
      <c r="I38" s="30"/>
      <c r="J38" s="30"/>
      <c r="K38" s="19"/>
      <c r="L38" s="20"/>
    </row>
    <row r="39" spans="1:12" s="43" customFormat="1">
      <c r="A39" s="48"/>
      <c r="B39" s="48"/>
      <c r="C39" s="48"/>
      <c r="D39" s="49"/>
      <c r="E39" s="48"/>
      <c r="F39" s="48"/>
      <c r="G39" s="48"/>
      <c r="H39" s="48"/>
      <c r="I39" s="48"/>
      <c r="J39" s="48"/>
      <c r="K39" s="50"/>
      <c r="L39" s="48"/>
    </row>
    <row r="40" spans="1:12" s="43" customFormat="1" ht="19.5" thickBot="1">
      <c r="A40" s="48"/>
      <c r="B40" s="48"/>
      <c r="C40" s="48"/>
      <c r="D40" s="49"/>
      <c r="E40" s="48"/>
      <c r="F40" s="48"/>
      <c r="G40" s="48"/>
      <c r="H40" s="48"/>
      <c r="I40" s="48"/>
      <c r="J40" s="48"/>
      <c r="K40" s="50"/>
      <c r="L40" s="48"/>
    </row>
    <row r="41" spans="1:12">
      <c r="A41" s="9">
        <v>19</v>
      </c>
      <c r="B41" s="124">
        <v>8</v>
      </c>
      <c r="C41" s="10" t="s">
        <v>17</v>
      </c>
      <c r="D41" s="11">
        <v>0.5</v>
      </c>
      <c r="E41" s="10" t="s">
        <v>122</v>
      </c>
      <c r="F41" s="105" t="s">
        <v>134</v>
      </c>
      <c r="G41" s="105" t="s">
        <v>134</v>
      </c>
      <c r="H41" s="10" t="s">
        <v>123</v>
      </c>
      <c r="I41" s="12">
        <f>$F$126</f>
        <v>50</v>
      </c>
      <c r="J41" s="12">
        <f>$G$126</f>
        <v>40</v>
      </c>
      <c r="K41" s="14">
        <f>I41*$D$124*D41</f>
        <v>1.5705E-2</v>
      </c>
      <c r="L41" s="38">
        <f>J41*$D$124*D41</f>
        <v>1.2563999999999999E-2</v>
      </c>
    </row>
    <row r="42" spans="1:12">
      <c r="A42" s="13">
        <v>20</v>
      </c>
      <c r="B42" s="125">
        <v>8</v>
      </c>
      <c r="C42" s="78" t="s">
        <v>17</v>
      </c>
      <c r="D42" s="8">
        <v>0.5</v>
      </c>
      <c r="E42" s="78" t="s">
        <v>122</v>
      </c>
      <c r="F42" s="106" t="s">
        <v>134</v>
      </c>
      <c r="G42" s="106" t="s">
        <v>134</v>
      </c>
      <c r="H42" s="78" t="s">
        <v>123</v>
      </c>
      <c r="I42" s="3">
        <f>$F$126</f>
        <v>50</v>
      </c>
      <c r="J42" s="3">
        <f>$G$126</f>
        <v>40</v>
      </c>
      <c r="K42" s="4">
        <f>I42*$D$124*D42</f>
        <v>1.5705E-2</v>
      </c>
      <c r="L42" s="39">
        <f>J42*$D$124*D42</f>
        <v>1.2563999999999999E-2</v>
      </c>
    </row>
    <row r="43" spans="1:12">
      <c r="A43" s="66">
        <v>39</v>
      </c>
      <c r="B43" s="125">
        <v>8</v>
      </c>
      <c r="C43" s="78" t="s">
        <v>17</v>
      </c>
      <c r="D43" s="8">
        <v>11</v>
      </c>
      <c r="E43" s="78" t="s">
        <v>127</v>
      </c>
      <c r="F43" s="92" t="s">
        <v>62</v>
      </c>
      <c r="G43" s="98" t="s">
        <v>105</v>
      </c>
      <c r="H43" s="78" t="s">
        <v>133</v>
      </c>
      <c r="I43" s="3">
        <f>$F$124</f>
        <v>25</v>
      </c>
      <c r="J43" s="3">
        <f>$G$124</f>
        <v>15.5</v>
      </c>
      <c r="K43" s="4">
        <f>I43*$D$124*D43</f>
        <v>0.17275499999999999</v>
      </c>
      <c r="L43" s="39">
        <f>J43*$D$124*D43</f>
        <v>0.1071081</v>
      </c>
    </row>
    <row r="44" spans="1:12">
      <c r="A44" s="59">
        <v>40</v>
      </c>
      <c r="B44" s="123">
        <v>8</v>
      </c>
      <c r="C44" s="60" t="s">
        <v>17</v>
      </c>
      <c r="D44" s="8">
        <v>13.5</v>
      </c>
      <c r="E44" s="78" t="s">
        <v>133</v>
      </c>
      <c r="F44" s="98" t="s">
        <v>105</v>
      </c>
      <c r="G44" s="123" t="s">
        <v>147</v>
      </c>
      <c r="H44" s="60" t="s">
        <v>42</v>
      </c>
      <c r="I44" s="3">
        <f>$F$125</f>
        <v>50</v>
      </c>
      <c r="J44" s="3">
        <f>$G$125</f>
        <v>30</v>
      </c>
      <c r="K44" s="4">
        <f>I44*$D$124*D44</f>
        <v>0.424035</v>
      </c>
      <c r="L44" s="39">
        <f>J44*$D$124*D44</f>
        <v>0.25442099999999995</v>
      </c>
    </row>
    <row r="45" spans="1:12" ht="19.5" thickBot="1">
      <c r="A45" s="59">
        <v>41</v>
      </c>
      <c r="B45" s="123">
        <v>8</v>
      </c>
      <c r="C45" s="60" t="s">
        <v>17</v>
      </c>
      <c r="D45" s="8">
        <v>13.5</v>
      </c>
      <c r="E45" s="103" t="s">
        <v>133</v>
      </c>
      <c r="F45" s="98" t="s">
        <v>105</v>
      </c>
      <c r="G45" s="123" t="s">
        <v>147</v>
      </c>
      <c r="H45" s="60" t="s">
        <v>130</v>
      </c>
      <c r="I45" s="113">
        <f>$F$126</f>
        <v>50</v>
      </c>
      <c r="J45" s="113">
        <f>$G$126</f>
        <v>40</v>
      </c>
      <c r="K45" s="37">
        <f>I45*$D$124*D45</f>
        <v>0.424035</v>
      </c>
      <c r="L45" s="40">
        <f>J45*$D$124*D45</f>
        <v>0.33922799999999997</v>
      </c>
    </row>
    <row r="46" spans="1:12" ht="19.5" thickBot="1">
      <c r="A46" s="195" t="s">
        <v>94</v>
      </c>
      <c r="B46" s="196"/>
      <c r="C46" s="65"/>
      <c r="D46" s="24">
        <f>SUM(D41:D45)</f>
        <v>39</v>
      </c>
      <c r="E46" s="65"/>
      <c r="F46" s="65"/>
      <c r="G46" s="65"/>
      <c r="H46" s="65"/>
      <c r="I46" s="65"/>
      <c r="J46" s="65"/>
      <c r="K46" s="25"/>
      <c r="L46" s="41"/>
    </row>
    <row r="47" spans="1:12">
      <c r="A47" s="13">
        <v>18</v>
      </c>
      <c r="B47" s="125">
        <v>8</v>
      </c>
      <c r="C47" s="78" t="s">
        <v>138</v>
      </c>
      <c r="D47" s="8">
        <v>1.5</v>
      </c>
      <c r="E47" s="78" t="s">
        <v>140</v>
      </c>
      <c r="F47" s="111" t="s">
        <v>14</v>
      </c>
      <c r="G47" s="92" t="s">
        <v>62</v>
      </c>
      <c r="H47" s="78" t="s">
        <v>33</v>
      </c>
      <c r="I47" s="12">
        <f>$F$127</f>
        <v>105</v>
      </c>
      <c r="J47" s="12">
        <f>$G$127</f>
        <v>75</v>
      </c>
      <c r="K47" s="14">
        <f>I47*$D$124*D47</f>
        <v>9.8941499999999988E-2</v>
      </c>
      <c r="L47" s="38">
        <f>J47*$D$124*D47</f>
        <v>7.0672499999999999E-2</v>
      </c>
    </row>
    <row r="48" spans="1:12" ht="19.5" thickBot="1">
      <c r="A48" s="59">
        <v>42</v>
      </c>
      <c r="B48" s="125">
        <v>8</v>
      </c>
      <c r="C48" s="60" t="s">
        <v>13</v>
      </c>
      <c r="D48" s="8">
        <v>7</v>
      </c>
      <c r="E48" s="60" t="s">
        <v>61</v>
      </c>
      <c r="F48" s="123" t="s">
        <v>147</v>
      </c>
      <c r="G48" s="98" t="s">
        <v>105</v>
      </c>
      <c r="H48" s="60" t="s">
        <v>51</v>
      </c>
      <c r="I48" s="113">
        <f>$F$124</f>
        <v>25</v>
      </c>
      <c r="J48" s="113">
        <f>$G$124</f>
        <v>15.5</v>
      </c>
      <c r="K48" s="37">
        <f>I48*$D$124*D48</f>
        <v>0.109935</v>
      </c>
      <c r="L48" s="40">
        <f>J48*$D$124*D48</f>
        <v>6.8159700000000004E-2</v>
      </c>
    </row>
    <row r="49" spans="1:12" ht="19.5" thickBot="1">
      <c r="A49" s="197" t="s">
        <v>95</v>
      </c>
      <c r="B49" s="198"/>
      <c r="C49" s="61"/>
      <c r="D49" s="27">
        <f>SUM(D47:D48)</f>
        <v>8.5</v>
      </c>
      <c r="E49" s="61"/>
      <c r="F49" s="61"/>
      <c r="G49" s="61"/>
      <c r="H49" s="61"/>
      <c r="I49" s="61"/>
      <c r="J49" s="61"/>
      <c r="K49" s="28"/>
      <c r="L49" s="42"/>
    </row>
    <row r="50" spans="1:12" ht="19.5" thickBot="1">
      <c r="A50" s="13">
        <v>23</v>
      </c>
      <c r="B50" s="125">
        <v>8</v>
      </c>
      <c r="C50" s="78" t="s">
        <v>137</v>
      </c>
      <c r="D50" s="8">
        <v>5</v>
      </c>
      <c r="E50" s="78" t="s">
        <v>120</v>
      </c>
      <c r="F50" s="106" t="s">
        <v>134</v>
      </c>
      <c r="G50" s="98" t="s">
        <v>105</v>
      </c>
      <c r="H50" s="78" t="s">
        <v>129</v>
      </c>
      <c r="I50" s="113">
        <f>$F$126</f>
        <v>50</v>
      </c>
      <c r="J50" s="113">
        <f>$G$126</f>
        <v>40</v>
      </c>
      <c r="K50" s="14">
        <f>I50*$D$124*D50</f>
        <v>0.15705</v>
      </c>
      <c r="L50" s="38">
        <f>J50*$D$124*D50</f>
        <v>0.12563999999999997</v>
      </c>
    </row>
    <row r="51" spans="1:12" ht="19.5" thickBot="1">
      <c r="A51" s="210" t="s">
        <v>136</v>
      </c>
      <c r="B51" s="211"/>
      <c r="C51" s="107"/>
      <c r="D51" s="108">
        <f>D50</f>
        <v>5</v>
      </c>
      <c r="E51" s="107"/>
      <c r="F51" s="107"/>
      <c r="G51" s="107"/>
      <c r="H51" s="107"/>
      <c r="I51" s="107"/>
      <c r="J51" s="107"/>
      <c r="K51" s="109"/>
      <c r="L51" s="110"/>
    </row>
    <row r="52" spans="1:12" ht="19.5" thickBot="1">
      <c r="A52" s="193" t="s">
        <v>96</v>
      </c>
      <c r="B52" s="194"/>
      <c r="C52" s="62"/>
      <c r="D52" s="18">
        <f>SUM(D43:D45,D47:D48,D50)</f>
        <v>51.5</v>
      </c>
      <c r="E52" s="62"/>
      <c r="F52" s="62"/>
      <c r="G52" s="62"/>
      <c r="H52" s="62"/>
      <c r="I52" s="62"/>
      <c r="J52" s="62"/>
      <c r="K52" s="19"/>
      <c r="L52" s="20"/>
    </row>
    <row r="53" spans="1:12" s="43" customFormat="1">
      <c r="A53" s="48"/>
      <c r="B53" s="48"/>
      <c r="C53" s="48"/>
      <c r="D53" s="49"/>
      <c r="E53" s="48"/>
      <c r="F53" s="48"/>
      <c r="G53" s="48"/>
      <c r="H53" s="48"/>
      <c r="I53" s="48"/>
      <c r="J53" s="48"/>
      <c r="K53" s="50"/>
      <c r="L53" s="48"/>
    </row>
    <row r="54" spans="1:12" s="43" customFormat="1" ht="19.5" thickBot="1">
      <c r="A54" s="48"/>
      <c r="B54" s="48"/>
      <c r="C54" s="48"/>
      <c r="D54" s="49"/>
      <c r="E54" s="48"/>
      <c r="F54" s="48"/>
      <c r="G54" s="48"/>
      <c r="H54" s="48"/>
      <c r="I54" s="48"/>
      <c r="J54" s="48"/>
      <c r="K54" s="50"/>
      <c r="L54" s="48"/>
    </row>
    <row r="55" spans="1:12">
      <c r="A55" s="9">
        <v>26</v>
      </c>
      <c r="B55" s="124">
        <v>10</v>
      </c>
      <c r="C55" s="10" t="s">
        <v>17</v>
      </c>
      <c r="D55" s="68">
        <v>7</v>
      </c>
      <c r="E55" s="10" t="s">
        <v>39</v>
      </c>
      <c r="F55" s="89" t="s">
        <v>20</v>
      </c>
      <c r="G55" s="96" t="s">
        <v>52</v>
      </c>
      <c r="H55" s="10" t="s">
        <v>116</v>
      </c>
      <c r="I55" s="12">
        <f>$F$123</f>
        <v>20</v>
      </c>
      <c r="J55" s="12">
        <f>$G$123</f>
        <v>15</v>
      </c>
      <c r="K55" s="14">
        <f>I55*$D$125*D55</f>
        <v>0.13984600000000003</v>
      </c>
      <c r="L55" s="38">
        <f>J55*$D$125*D55</f>
        <v>0.10488450000000001</v>
      </c>
    </row>
    <row r="56" spans="1:12">
      <c r="A56" s="13">
        <v>27</v>
      </c>
      <c r="B56" s="125">
        <v>10</v>
      </c>
      <c r="C56" s="78" t="s">
        <v>17</v>
      </c>
      <c r="D56" s="8">
        <v>6.5</v>
      </c>
      <c r="E56" s="78" t="s">
        <v>39</v>
      </c>
      <c r="F56" s="90" t="s">
        <v>20</v>
      </c>
      <c r="G56" s="90" t="s">
        <v>20</v>
      </c>
      <c r="H56" s="78" t="s">
        <v>149</v>
      </c>
      <c r="I56" s="3">
        <f>$F$123</f>
        <v>20</v>
      </c>
      <c r="J56" s="3">
        <f>$G$123</f>
        <v>15</v>
      </c>
      <c r="K56" s="4">
        <f>I56*$D$125*D56</f>
        <v>0.12985700000000003</v>
      </c>
      <c r="L56" s="39">
        <f>J56*$D$125*D56</f>
        <v>9.739275E-2</v>
      </c>
    </row>
    <row r="57" spans="1:12" s="52" customFormat="1">
      <c r="A57" s="13">
        <v>28</v>
      </c>
      <c r="B57" s="125">
        <v>10</v>
      </c>
      <c r="C57" s="78" t="s">
        <v>17</v>
      </c>
      <c r="D57" s="64">
        <v>1</v>
      </c>
      <c r="E57" s="78" t="s">
        <v>40</v>
      </c>
      <c r="F57" s="90" t="s">
        <v>20</v>
      </c>
      <c r="G57" s="92" t="s">
        <v>62</v>
      </c>
      <c r="H57" s="78" t="s">
        <v>37</v>
      </c>
      <c r="I57" s="3">
        <f>$F$123</f>
        <v>20</v>
      </c>
      <c r="J57" s="3">
        <f>$G$123</f>
        <v>15</v>
      </c>
      <c r="K57" s="4">
        <f>I57*$D$125*D57</f>
        <v>1.9978000000000003E-2</v>
      </c>
      <c r="L57" s="39">
        <f>J57*$D$125*D57</f>
        <v>1.49835E-2</v>
      </c>
    </row>
    <row r="58" spans="1:12">
      <c r="A58" s="47">
        <v>36</v>
      </c>
      <c r="B58" s="123">
        <v>10</v>
      </c>
      <c r="C58" s="29" t="s">
        <v>17</v>
      </c>
      <c r="D58" s="8">
        <v>13.5</v>
      </c>
      <c r="E58" s="78" t="s">
        <v>132</v>
      </c>
      <c r="F58" s="95" t="s">
        <v>52</v>
      </c>
      <c r="G58" s="123" t="s">
        <v>147</v>
      </c>
      <c r="H58" s="29" t="s">
        <v>41</v>
      </c>
      <c r="I58" s="3">
        <f>$F$122</f>
        <v>10</v>
      </c>
      <c r="J58" s="3">
        <f>$G$122</f>
        <v>4.8</v>
      </c>
      <c r="K58" s="4">
        <f>I58*$D$125*D58</f>
        <v>0.13485150000000001</v>
      </c>
      <c r="L58" s="39">
        <f>J58*$D$125*D58</f>
        <v>6.472871999999999E-2</v>
      </c>
    </row>
    <row r="59" spans="1:12" ht="19.5" thickBot="1">
      <c r="A59" s="47">
        <v>37</v>
      </c>
      <c r="B59" s="123">
        <v>10</v>
      </c>
      <c r="C59" s="29" t="s">
        <v>17</v>
      </c>
      <c r="D59" s="8">
        <v>13.5</v>
      </c>
      <c r="E59" s="103" t="s">
        <v>132</v>
      </c>
      <c r="F59" s="95" t="s">
        <v>52</v>
      </c>
      <c r="G59" s="123" t="s">
        <v>147</v>
      </c>
      <c r="H59" s="29" t="s">
        <v>131</v>
      </c>
      <c r="I59" s="113">
        <f>$F$122</f>
        <v>10</v>
      </c>
      <c r="J59" s="113">
        <f>$G$122</f>
        <v>4.8</v>
      </c>
      <c r="K59" s="37">
        <f>I59*$D$125*D59</f>
        <v>0.13485150000000001</v>
      </c>
      <c r="L59" s="40">
        <f>J59*$D$125*D59</f>
        <v>6.472871999999999E-2</v>
      </c>
    </row>
    <row r="60" spans="1:12" ht="19.5" thickBot="1">
      <c r="A60" s="195" t="s">
        <v>83</v>
      </c>
      <c r="B60" s="196"/>
      <c r="C60" s="65"/>
      <c r="D60" s="24">
        <f>SUM(D55:D59)</f>
        <v>41.5</v>
      </c>
      <c r="E60" s="65"/>
      <c r="F60" s="65"/>
      <c r="G60" s="65"/>
      <c r="H60" s="65"/>
      <c r="I60" s="65"/>
      <c r="J60" s="65"/>
      <c r="K60" s="25"/>
      <c r="L60" s="41"/>
    </row>
    <row r="61" spans="1:12">
      <c r="A61" s="16">
        <v>29</v>
      </c>
      <c r="B61" s="124">
        <v>10</v>
      </c>
      <c r="C61" s="10" t="s">
        <v>13</v>
      </c>
      <c r="D61" s="68">
        <v>0.5</v>
      </c>
      <c r="E61" s="10" t="s">
        <v>50</v>
      </c>
      <c r="F61" s="89" t="s">
        <v>20</v>
      </c>
      <c r="G61" s="96" t="s">
        <v>52</v>
      </c>
      <c r="H61" s="10" t="s">
        <v>51</v>
      </c>
      <c r="I61" s="12">
        <f>$F$123</f>
        <v>20</v>
      </c>
      <c r="J61" s="12">
        <f>$G$123</f>
        <v>15</v>
      </c>
      <c r="K61" s="14">
        <f>I61*$D$125*D61</f>
        <v>9.9890000000000014E-3</v>
      </c>
      <c r="L61" s="38">
        <f>J61*$D$125*D61</f>
        <v>7.4917500000000001E-3</v>
      </c>
    </row>
    <row r="62" spans="1:12">
      <c r="A62" s="47">
        <v>38</v>
      </c>
      <c r="B62" s="125">
        <v>10</v>
      </c>
      <c r="C62" s="29" t="s">
        <v>13</v>
      </c>
      <c r="D62" s="8">
        <v>6</v>
      </c>
      <c r="E62" s="29" t="s">
        <v>60</v>
      </c>
      <c r="F62" s="90" t="s">
        <v>20</v>
      </c>
      <c r="G62" s="95" t="s">
        <v>52</v>
      </c>
      <c r="H62" s="29" t="s">
        <v>51</v>
      </c>
      <c r="I62" s="3">
        <f>$F$122</f>
        <v>10</v>
      </c>
      <c r="J62" s="3">
        <f>$G$122</f>
        <v>4.8</v>
      </c>
      <c r="K62" s="4">
        <f>I62*$D$125*D62</f>
        <v>5.9934000000000008E-2</v>
      </c>
      <c r="L62" s="39">
        <f>J62*$D$125*D62</f>
        <v>2.876832E-2</v>
      </c>
    </row>
    <row r="63" spans="1:12" ht="19.5" thickBot="1">
      <c r="A63" s="66">
        <v>51</v>
      </c>
      <c r="B63" s="125">
        <v>10</v>
      </c>
      <c r="C63" s="78" t="s">
        <v>13</v>
      </c>
      <c r="D63" s="8">
        <v>17</v>
      </c>
      <c r="E63" s="181" t="s">
        <v>174</v>
      </c>
      <c r="F63" s="94" t="s">
        <v>53</v>
      </c>
      <c r="G63" s="92" t="s">
        <v>62</v>
      </c>
      <c r="H63" s="78" t="s">
        <v>30</v>
      </c>
      <c r="I63" s="3">
        <v>1</v>
      </c>
      <c r="J63" s="3">
        <v>1</v>
      </c>
      <c r="K63" s="37">
        <f>I63*$D$125*D63</f>
        <v>1.6981300000000001E-2</v>
      </c>
      <c r="L63" s="40">
        <f>J63*$D$125*D63</f>
        <v>1.6981300000000001E-2</v>
      </c>
    </row>
    <row r="64" spans="1:12" ht="19.5" thickBot="1">
      <c r="A64" s="197" t="s">
        <v>84</v>
      </c>
      <c r="B64" s="198"/>
      <c r="C64" s="54"/>
      <c r="D64" s="27">
        <f>SUM(D61:D63)</f>
        <v>23.5</v>
      </c>
      <c r="E64" s="54"/>
      <c r="F64" s="54"/>
      <c r="G64" s="54"/>
      <c r="H64" s="54"/>
      <c r="I64" s="54"/>
      <c r="J64" s="54"/>
      <c r="K64" s="28"/>
      <c r="L64" s="42"/>
    </row>
    <row r="65" spans="1:12" ht="19.5" thickBot="1">
      <c r="A65" s="193" t="s">
        <v>79</v>
      </c>
      <c r="B65" s="194"/>
      <c r="C65" s="30"/>
      <c r="D65" s="18">
        <f>SUM(D55:D59,D61:D63)</f>
        <v>65</v>
      </c>
      <c r="E65" s="30"/>
      <c r="F65" s="30"/>
      <c r="G65" s="30"/>
      <c r="H65" s="30"/>
      <c r="I65" s="30"/>
      <c r="J65" s="30"/>
      <c r="K65" s="19"/>
      <c r="L65" s="20"/>
    </row>
    <row r="66" spans="1:12" s="43" customFormat="1">
      <c r="A66" s="48"/>
      <c r="B66" s="48"/>
      <c r="C66" s="48"/>
      <c r="D66" s="49"/>
      <c r="E66" s="48"/>
      <c r="F66" s="48"/>
      <c r="G66" s="48"/>
      <c r="H66" s="48"/>
      <c r="I66" s="48"/>
      <c r="J66" s="48"/>
      <c r="K66" s="50"/>
      <c r="L66" s="48"/>
    </row>
    <row r="67" spans="1:12" s="43" customFormat="1" ht="19.5" thickBot="1">
      <c r="A67" s="48"/>
      <c r="B67" s="48"/>
      <c r="C67" s="48"/>
      <c r="D67" s="49"/>
      <c r="E67" s="48"/>
      <c r="F67" s="48"/>
      <c r="G67" s="48"/>
      <c r="H67" s="48"/>
      <c r="I67" s="48"/>
      <c r="J67" s="48"/>
      <c r="K67" s="50"/>
      <c r="L67" s="48"/>
    </row>
    <row r="68" spans="1:12" ht="19.5" thickBot="1">
      <c r="A68" s="199" t="s">
        <v>192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1"/>
    </row>
    <row r="69" spans="1:12" ht="19.5" thickBot="1">
      <c r="A69" s="202" t="s">
        <v>0</v>
      </c>
      <c r="B69" s="202"/>
      <c r="C69" s="202"/>
      <c r="D69" s="202"/>
      <c r="E69" s="202" t="s">
        <v>1</v>
      </c>
      <c r="F69" s="202"/>
      <c r="G69" s="202" t="s">
        <v>2</v>
      </c>
      <c r="H69" s="202"/>
      <c r="I69" s="203" t="s">
        <v>3</v>
      </c>
      <c r="J69" s="204"/>
      <c r="K69" s="205" t="s">
        <v>4</v>
      </c>
      <c r="L69" s="206"/>
    </row>
    <row r="70" spans="1:12" ht="19.5" thickBot="1">
      <c r="A70" s="182" t="s">
        <v>5</v>
      </c>
      <c r="B70" s="182" t="s">
        <v>6</v>
      </c>
      <c r="C70" s="182" t="s">
        <v>7</v>
      </c>
      <c r="D70" s="182" t="s">
        <v>8</v>
      </c>
      <c r="E70" s="182" t="s">
        <v>9</v>
      </c>
      <c r="F70" s="182" t="s">
        <v>10</v>
      </c>
      <c r="G70" s="182" t="s">
        <v>10</v>
      </c>
      <c r="H70" s="182" t="s">
        <v>9</v>
      </c>
      <c r="I70" s="179" t="s">
        <v>11</v>
      </c>
      <c r="J70" s="179" t="s">
        <v>12</v>
      </c>
      <c r="K70" s="179" t="s">
        <v>11</v>
      </c>
      <c r="L70" s="180" t="s">
        <v>12</v>
      </c>
    </row>
    <row r="71" spans="1:12">
      <c r="A71" s="16">
        <v>44</v>
      </c>
      <c r="B71" s="127" t="s">
        <v>87</v>
      </c>
      <c r="C71" s="10" t="s">
        <v>178</v>
      </c>
      <c r="D71" s="10" t="s">
        <v>87</v>
      </c>
      <c r="E71" s="10" t="s">
        <v>44</v>
      </c>
      <c r="F71" s="93" t="s">
        <v>53</v>
      </c>
      <c r="G71" s="91" t="s">
        <v>62</v>
      </c>
      <c r="H71" s="10" t="s">
        <v>15</v>
      </c>
      <c r="I71" s="12">
        <f t="shared" ref="I71:I76" si="7">$F$119</f>
        <v>1</v>
      </c>
      <c r="J71" s="12">
        <f t="shared" ref="J71:J76" si="8">$G$119</f>
        <v>1</v>
      </c>
      <c r="K71" s="14"/>
      <c r="L71" s="38"/>
    </row>
    <row r="72" spans="1:12">
      <c r="A72" s="66">
        <v>45</v>
      </c>
      <c r="B72" s="123">
        <v>14</v>
      </c>
      <c r="C72" s="78" t="s">
        <v>179</v>
      </c>
      <c r="D72" s="78" t="s">
        <v>90</v>
      </c>
      <c r="E72" s="78" t="s">
        <v>43</v>
      </c>
      <c r="F72" s="94" t="s">
        <v>53</v>
      </c>
      <c r="G72" s="98" t="s">
        <v>105</v>
      </c>
      <c r="H72" s="78" t="s">
        <v>124</v>
      </c>
      <c r="I72" s="3">
        <f t="shared" si="7"/>
        <v>1</v>
      </c>
      <c r="J72" s="3">
        <f t="shared" si="8"/>
        <v>1</v>
      </c>
      <c r="K72" s="4"/>
      <c r="L72" s="39"/>
    </row>
    <row r="73" spans="1:12">
      <c r="A73" s="66">
        <v>46</v>
      </c>
      <c r="B73" s="123">
        <v>14</v>
      </c>
      <c r="C73" s="78" t="s">
        <v>180</v>
      </c>
      <c r="D73" s="78" t="s">
        <v>90</v>
      </c>
      <c r="E73" s="78" t="s">
        <v>177</v>
      </c>
      <c r="F73" s="94" t="s">
        <v>53</v>
      </c>
      <c r="G73" s="98" t="s">
        <v>105</v>
      </c>
      <c r="H73" s="78" t="s">
        <v>48</v>
      </c>
      <c r="I73" s="3">
        <f t="shared" si="7"/>
        <v>1</v>
      </c>
      <c r="J73" s="3">
        <f t="shared" si="8"/>
        <v>1</v>
      </c>
      <c r="K73" s="4"/>
      <c r="L73" s="39"/>
    </row>
    <row r="74" spans="1:12">
      <c r="A74" s="66">
        <v>47</v>
      </c>
      <c r="B74" s="123" t="s">
        <v>88</v>
      </c>
      <c r="C74" s="78" t="s">
        <v>178</v>
      </c>
      <c r="D74" s="78" t="s">
        <v>88</v>
      </c>
      <c r="E74" s="78" t="s">
        <v>45</v>
      </c>
      <c r="F74" s="94" t="s">
        <v>53</v>
      </c>
      <c r="G74" s="106" t="s">
        <v>134</v>
      </c>
      <c r="H74" s="78" t="s">
        <v>49</v>
      </c>
      <c r="I74" s="3">
        <f t="shared" si="7"/>
        <v>1</v>
      </c>
      <c r="J74" s="3">
        <f t="shared" si="8"/>
        <v>1</v>
      </c>
      <c r="K74" s="4"/>
      <c r="L74" s="39"/>
    </row>
    <row r="75" spans="1:12">
      <c r="A75" s="66">
        <v>49</v>
      </c>
      <c r="B75" s="123">
        <v>14</v>
      </c>
      <c r="C75" s="78" t="s">
        <v>181</v>
      </c>
      <c r="D75" s="78" t="s">
        <v>90</v>
      </c>
      <c r="E75" s="78" t="s">
        <v>176</v>
      </c>
      <c r="F75" s="94" t="s">
        <v>53</v>
      </c>
      <c r="G75" s="106" t="s">
        <v>134</v>
      </c>
      <c r="H75" s="78" t="s">
        <v>183</v>
      </c>
      <c r="I75" s="3">
        <f t="shared" si="7"/>
        <v>1</v>
      </c>
      <c r="J75" s="3">
        <f t="shared" si="8"/>
        <v>1</v>
      </c>
      <c r="K75" s="4"/>
      <c r="L75" s="39"/>
    </row>
    <row r="76" spans="1:12" ht="19.5" thickBot="1">
      <c r="A76" s="121">
        <v>50</v>
      </c>
      <c r="B76" s="184">
        <v>14</v>
      </c>
      <c r="C76" s="181" t="s">
        <v>182</v>
      </c>
      <c r="D76" s="181" t="s">
        <v>90</v>
      </c>
      <c r="E76" s="181" t="s">
        <v>175</v>
      </c>
      <c r="F76" s="185" t="s">
        <v>53</v>
      </c>
      <c r="G76" s="183" t="s">
        <v>52</v>
      </c>
      <c r="H76" s="181" t="s">
        <v>173</v>
      </c>
      <c r="I76" s="113">
        <f t="shared" si="7"/>
        <v>1</v>
      </c>
      <c r="J76" s="113">
        <f t="shared" si="8"/>
        <v>1</v>
      </c>
      <c r="K76" s="37"/>
      <c r="L76" s="40"/>
    </row>
    <row r="77" spans="1:12" s="43" customFormat="1">
      <c r="A77" s="48"/>
      <c r="B77" s="48"/>
      <c r="C77" s="48"/>
      <c r="D77" s="49"/>
      <c r="E77" s="48"/>
      <c r="F77" s="48"/>
      <c r="G77" s="48"/>
      <c r="H77" s="48"/>
      <c r="I77" s="48"/>
      <c r="J77" s="48"/>
      <c r="K77" s="50"/>
      <c r="L77" s="48"/>
    </row>
    <row r="78" spans="1:12" s="43" customFormat="1" ht="19.5" thickBot="1">
      <c r="A78" s="48"/>
      <c r="B78" s="48"/>
      <c r="C78" s="48"/>
      <c r="D78" s="49"/>
      <c r="E78" s="48"/>
      <c r="F78" s="48"/>
      <c r="G78" s="48"/>
      <c r="H78" s="48"/>
      <c r="I78" s="48"/>
      <c r="J78" s="48"/>
      <c r="K78" s="50"/>
      <c r="L78" s="48"/>
    </row>
    <row r="79" spans="1:12" ht="19.5" thickBot="1">
      <c r="A79" s="79" t="s">
        <v>5</v>
      </c>
      <c r="B79" s="79" t="s">
        <v>6</v>
      </c>
      <c r="C79" s="79" t="s">
        <v>7</v>
      </c>
      <c r="D79" s="79" t="s">
        <v>8</v>
      </c>
      <c r="E79" s="79" t="s">
        <v>9</v>
      </c>
      <c r="F79" s="79" t="s">
        <v>10</v>
      </c>
      <c r="G79" s="79" t="s">
        <v>10</v>
      </c>
      <c r="H79" s="79" t="s">
        <v>9</v>
      </c>
      <c r="I79" s="80" t="s">
        <v>11</v>
      </c>
      <c r="J79" s="80" t="s">
        <v>12</v>
      </c>
      <c r="K79" s="80" t="s">
        <v>11</v>
      </c>
      <c r="L79" s="116" t="s">
        <v>12</v>
      </c>
    </row>
    <row r="80" spans="1:12">
      <c r="A80" s="66">
        <v>30</v>
      </c>
      <c r="B80" s="125">
        <v>14</v>
      </c>
      <c r="C80" s="67" t="s">
        <v>17</v>
      </c>
      <c r="D80" s="8">
        <v>12</v>
      </c>
      <c r="E80" s="67" t="s">
        <v>36</v>
      </c>
      <c r="F80" s="128" t="s">
        <v>151</v>
      </c>
      <c r="G80" s="96" t="s">
        <v>52</v>
      </c>
      <c r="H80" s="10" t="s">
        <v>117</v>
      </c>
      <c r="I80" s="3">
        <f>$F$120</f>
        <v>2</v>
      </c>
      <c r="J80" s="3">
        <f>$G$120</f>
        <v>2</v>
      </c>
      <c r="K80" s="4">
        <f>I80*$D$127*D80</f>
        <v>6.0600000000000001E-2</v>
      </c>
      <c r="L80" s="39">
        <f>J80*$D$127*D80</f>
        <v>6.0600000000000001E-2</v>
      </c>
    </row>
    <row r="81" spans="1:12">
      <c r="A81" s="15">
        <v>31</v>
      </c>
      <c r="B81" s="125">
        <v>14</v>
      </c>
      <c r="C81" s="2" t="s">
        <v>17</v>
      </c>
      <c r="D81" s="8">
        <v>21.5</v>
      </c>
      <c r="E81" s="2" t="s">
        <v>36</v>
      </c>
      <c r="F81" s="129" t="s">
        <v>151</v>
      </c>
      <c r="G81" s="90" t="s">
        <v>20</v>
      </c>
      <c r="H81" s="2" t="s">
        <v>101</v>
      </c>
      <c r="I81" s="3">
        <f>$F$120</f>
        <v>2</v>
      </c>
      <c r="J81" s="3">
        <f>$G$120</f>
        <v>2</v>
      </c>
      <c r="K81" s="4">
        <f>I81*$D$127*D81</f>
        <v>0.10857499999999999</v>
      </c>
      <c r="L81" s="39">
        <f>J81*$D$127*D81</f>
        <v>0.10857499999999999</v>
      </c>
    </row>
    <row r="82" spans="1:12">
      <c r="A82" s="15">
        <v>32</v>
      </c>
      <c r="B82" s="125">
        <v>14</v>
      </c>
      <c r="C82" s="2" t="s">
        <v>17</v>
      </c>
      <c r="D82" s="8">
        <v>1</v>
      </c>
      <c r="E82" s="2" t="s">
        <v>101</v>
      </c>
      <c r="F82" s="90" t="s">
        <v>20</v>
      </c>
      <c r="G82" s="92" t="s">
        <v>62</v>
      </c>
      <c r="H82" s="2" t="s">
        <v>37</v>
      </c>
      <c r="I82" s="3">
        <f>$F$120</f>
        <v>2</v>
      </c>
      <c r="J82" s="3">
        <f>$G$120</f>
        <v>2</v>
      </c>
      <c r="K82" s="4">
        <f>I82*$D$127*D82</f>
        <v>5.0499999999999998E-3</v>
      </c>
      <c r="L82" s="39">
        <f>J82*$D$127*D82</f>
        <v>5.0499999999999998E-3</v>
      </c>
    </row>
    <row r="83" spans="1:12" s="52" customFormat="1">
      <c r="A83" s="186">
        <v>34</v>
      </c>
      <c r="B83" s="125">
        <v>14</v>
      </c>
      <c r="C83" s="78" t="s">
        <v>17</v>
      </c>
      <c r="D83" s="8">
        <f>2-2</f>
        <v>0</v>
      </c>
      <c r="E83" s="78" t="s">
        <v>159</v>
      </c>
      <c r="F83" s="90" t="s">
        <v>20</v>
      </c>
      <c r="G83" s="98" t="s">
        <v>105</v>
      </c>
      <c r="H83" s="78" t="s">
        <v>145</v>
      </c>
      <c r="I83" s="3">
        <f>$F$122</f>
        <v>10</v>
      </c>
      <c r="J83" s="3">
        <f>$G$122</f>
        <v>4.8</v>
      </c>
      <c r="K83" s="191" t="s">
        <v>186</v>
      </c>
      <c r="L83" s="192"/>
    </row>
    <row r="84" spans="1:12" ht="19.5" thickBot="1">
      <c r="A84" s="56">
        <v>43</v>
      </c>
      <c r="B84" s="123">
        <v>14</v>
      </c>
      <c r="C84" s="57" t="s">
        <v>17</v>
      </c>
      <c r="D84" s="8">
        <v>14</v>
      </c>
      <c r="E84" s="57" t="s">
        <v>150</v>
      </c>
      <c r="F84" s="90" t="s">
        <v>20</v>
      </c>
      <c r="G84" s="95" t="s">
        <v>52</v>
      </c>
      <c r="H84" s="99" t="s">
        <v>118</v>
      </c>
      <c r="I84" s="3">
        <f>$F$120</f>
        <v>2</v>
      </c>
      <c r="J84" s="3">
        <f>$G$120</f>
        <v>2</v>
      </c>
      <c r="K84" s="4">
        <f>I84*$D$127*D84</f>
        <v>7.0699999999999999E-2</v>
      </c>
      <c r="L84" s="39">
        <f>J84*$D$127*D84</f>
        <v>7.0699999999999999E-2</v>
      </c>
    </row>
    <row r="85" spans="1:12" ht="19.5" thickBot="1">
      <c r="A85" s="195" t="s">
        <v>86</v>
      </c>
      <c r="B85" s="196"/>
      <c r="C85" s="53"/>
      <c r="D85" s="24">
        <f>SUM(D80:D84)</f>
        <v>48.5</v>
      </c>
      <c r="E85" s="53"/>
      <c r="F85" s="53"/>
      <c r="G85" s="53"/>
      <c r="H85" s="53"/>
      <c r="I85" s="53"/>
      <c r="J85" s="53"/>
      <c r="K85" s="25"/>
      <c r="L85" s="41"/>
    </row>
    <row r="86" spans="1:12">
      <c r="A86" s="13">
        <v>24</v>
      </c>
      <c r="B86" s="125">
        <v>14</v>
      </c>
      <c r="C86" s="78" t="s">
        <v>13</v>
      </c>
      <c r="D86" s="8">
        <v>2</v>
      </c>
      <c r="E86" s="78" t="s">
        <v>146</v>
      </c>
      <c r="F86" s="93" t="s">
        <v>53</v>
      </c>
      <c r="G86" s="95" t="s">
        <v>52</v>
      </c>
      <c r="H86" s="78" t="s">
        <v>129</v>
      </c>
      <c r="I86" s="3">
        <f>$F$119</f>
        <v>1</v>
      </c>
      <c r="J86" s="3">
        <f>$G$119</f>
        <v>1</v>
      </c>
      <c r="K86" s="4">
        <f>I86*$D$127*D86</f>
        <v>5.0499999999999998E-3</v>
      </c>
      <c r="L86" s="39">
        <f>J86*$D$127*D86</f>
        <v>5.0499999999999998E-3</v>
      </c>
    </row>
    <row r="87" spans="1:12">
      <c r="A87" s="13">
        <v>33</v>
      </c>
      <c r="B87" s="125">
        <v>14</v>
      </c>
      <c r="C87" s="2" t="s">
        <v>13</v>
      </c>
      <c r="D87" s="64">
        <v>12.916</v>
      </c>
      <c r="E87" s="2" t="s">
        <v>38</v>
      </c>
      <c r="F87" s="129" t="s">
        <v>151</v>
      </c>
      <c r="G87" s="92" t="s">
        <v>62</v>
      </c>
      <c r="H87" s="2" t="s">
        <v>30</v>
      </c>
      <c r="I87" s="3">
        <f>$F$120</f>
        <v>2</v>
      </c>
      <c r="J87" s="3">
        <f>$G$120</f>
        <v>2</v>
      </c>
      <c r="K87" s="4">
        <f>I87*$D$127*D87</f>
        <v>6.52258E-2</v>
      </c>
      <c r="L87" s="39">
        <f>J87*$D$127*D87</f>
        <v>6.52258E-2</v>
      </c>
    </row>
    <row r="88" spans="1:12" ht="19.5" thickBot="1">
      <c r="A88" s="186">
        <v>35</v>
      </c>
      <c r="B88" s="125">
        <v>14</v>
      </c>
      <c r="C88" s="78" t="s">
        <v>13</v>
      </c>
      <c r="D88" s="78">
        <f>1.5-1.5</f>
        <v>0</v>
      </c>
      <c r="E88" s="78" t="s">
        <v>148</v>
      </c>
      <c r="F88" s="90" t="s">
        <v>20</v>
      </c>
      <c r="G88" s="95" t="s">
        <v>52</v>
      </c>
      <c r="H88" s="78" t="s">
        <v>129</v>
      </c>
      <c r="I88" s="3">
        <v>1</v>
      </c>
      <c r="J88" s="3">
        <v>1</v>
      </c>
      <c r="K88" s="191" t="s">
        <v>186</v>
      </c>
      <c r="L88" s="192"/>
    </row>
    <row r="89" spans="1:12" ht="19.5" thickBot="1">
      <c r="A89" s="197" t="s">
        <v>85</v>
      </c>
      <c r="B89" s="198"/>
      <c r="C89" s="54"/>
      <c r="D89" s="27">
        <f>SUM(D86:D88)</f>
        <v>14.916</v>
      </c>
      <c r="E89" s="54"/>
      <c r="F89" s="54"/>
      <c r="G89" s="54"/>
      <c r="H89" s="54"/>
      <c r="I89" s="54"/>
      <c r="J89" s="54"/>
      <c r="K89" s="28"/>
      <c r="L89" s="42"/>
    </row>
    <row r="90" spans="1:12" ht="19.5" thickBot="1">
      <c r="A90" s="15">
        <v>48</v>
      </c>
      <c r="B90" s="123">
        <v>14</v>
      </c>
      <c r="C90" s="2" t="s">
        <v>46</v>
      </c>
      <c r="D90" s="55" t="s">
        <v>89</v>
      </c>
      <c r="E90" s="2" t="s">
        <v>125</v>
      </c>
      <c r="F90" s="95" t="s">
        <v>52</v>
      </c>
      <c r="G90" s="185" t="s">
        <v>53</v>
      </c>
      <c r="H90" s="2" t="s">
        <v>47</v>
      </c>
      <c r="I90" s="3">
        <f>$F$119</f>
        <v>1</v>
      </c>
      <c r="J90" s="3">
        <f>$G$119</f>
        <v>1</v>
      </c>
      <c r="K90" s="4"/>
      <c r="L90" s="39"/>
    </row>
    <row r="91" spans="1:12" ht="19.5" thickBot="1">
      <c r="A91" s="193" t="s">
        <v>59</v>
      </c>
      <c r="B91" s="194"/>
      <c r="C91" s="17"/>
      <c r="D91" s="18">
        <f>SUM(D80:D84,D86:D88)</f>
        <v>63.415999999999997</v>
      </c>
      <c r="E91" s="17"/>
      <c r="F91" s="17"/>
      <c r="G91" s="17"/>
      <c r="H91" s="17"/>
      <c r="I91" s="17"/>
      <c r="J91" s="21"/>
      <c r="K91" s="19"/>
      <c r="L91" s="20"/>
    </row>
    <row r="92" spans="1:12" s="51" customFormat="1">
      <c r="A92" s="44"/>
      <c r="B92" s="44"/>
      <c r="C92" s="44"/>
      <c r="D92" s="45"/>
      <c r="E92" s="44"/>
      <c r="F92" s="44"/>
      <c r="G92" s="44"/>
      <c r="H92" s="44"/>
      <c r="I92" s="44"/>
      <c r="J92" s="44"/>
      <c r="K92" s="46"/>
      <c r="L92" s="44"/>
    </row>
    <row r="93" spans="1:12" s="51" customFormat="1" ht="19.5" thickBot="1">
      <c r="A93" s="48"/>
      <c r="B93" s="48"/>
      <c r="C93" s="48"/>
      <c r="D93" s="49"/>
      <c r="E93" s="48"/>
      <c r="F93" s="48"/>
      <c r="G93" s="48"/>
      <c r="H93" s="48"/>
      <c r="I93" s="48"/>
      <c r="J93" s="48"/>
      <c r="K93" s="50"/>
      <c r="L93" s="48"/>
    </row>
    <row r="94" spans="1:12">
      <c r="A94" s="16">
        <v>52</v>
      </c>
      <c r="B94" s="124" t="s">
        <v>111</v>
      </c>
      <c r="C94" s="10" t="s">
        <v>46</v>
      </c>
      <c r="D94" s="10" t="s">
        <v>90</v>
      </c>
      <c r="E94" s="10" t="s">
        <v>54</v>
      </c>
      <c r="F94" s="12" t="s">
        <v>104</v>
      </c>
      <c r="G94" s="12" t="s">
        <v>104</v>
      </c>
      <c r="H94" s="10" t="s">
        <v>102</v>
      </c>
      <c r="I94" s="12">
        <f>$F$119</f>
        <v>1</v>
      </c>
      <c r="J94" s="12">
        <f>$G$119</f>
        <v>1</v>
      </c>
      <c r="K94" s="14"/>
      <c r="L94" s="38"/>
    </row>
    <row r="95" spans="1:12">
      <c r="A95" s="15">
        <v>53</v>
      </c>
      <c r="B95" s="125" t="s">
        <v>189</v>
      </c>
      <c r="C95" s="22" t="s">
        <v>17</v>
      </c>
      <c r="D95" s="8">
        <v>8</v>
      </c>
      <c r="E95" s="22" t="s">
        <v>103</v>
      </c>
      <c r="F95" s="3" t="s">
        <v>112</v>
      </c>
      <c r="G95" s="95" t="s">
        <v>52</v>
      </c>
      <c r="H95" s="78" t="s">
        <v>119</v>
      </c>
      <c r="I95" s="3">
        <f>$F$119</f>
        <v>1</v>
      </c>
      <c r="J95" s="3">
        <f>$G$119</f>
        <v>1</v>
      </c>
      <c r="K95" s="4">
        <f>I95*$D$127*D95</f>
        <v>2.0199999999999999E-2</v>
      </c>
      <c r="L95" s="39">
        <f>J95*$D$127*D95</f>
        <v>2.0199999999999999E-2</v>
      </c>
    </row>
    <row r="96" spans="1:12">
      <c r="A96" s="66">
        <v>54</v>
      </c>
      <c r="B96" s="125" t="s">
        <v>111</v>
      </c>
      <c r="C96" s="78" t="s">
        <v>46</v>
      </c>
      <c r="D96" s="78" t="s">
        <v>90</v>
      </c>
      <c r="E96" s="78" t="s">
        <v>144</v>
      </c>
      <c r="F96" s="3" t="s">
        <v>104</v>
      </c>
      <c r="G96" s="92" t="s">
        <v>62</v>
      </c>
      <c r="H96" s="78" t="s">
        <v>15</v>
      </c>
      <c r="I96" s="3">
        <f>$F$119</f>
        <v>1</v>
      </c>
      <c r="J96" s="3">
        <f>$G$119</f>
        <v>1</v>
      </c>
      <c r="K96" s="4"/>
      <c r="L96" s="39"/>
    </row>
    <row r="97" spans="1:15">
      <c r="A97" s="66">
        <v>55</v>
      </c>
      <c r="B97" s="125" t="s">
        <v>188</v>
      </c>
      <c r="C97" s="78" t="s">
        <v>17</v>
      </c>
      <c r="D97" s="8">
        <v>8</v>
      </c>
      <c r="E97" s="78" t="s">
        <v>187</v>
      </c>
      <c r="F97" s="3" t="s">
        <v>112</v>
      </c>
      <c r="G97" s="90" t="s">
        <v>20</v>
      </c>
      <c r="H97" s="78" t="s">
        <v>101</v>
      </c>
      <c r="I97" s="3">
        <v>2</v>
      </c>
      <c r="J97" s="3">
        <v>2</v>
      </c>
      <c r="K97" s="4">
        <f>I97*$D$128*D97</f>
        <v>6.4255999999999994E-2</v>
      </c>
      <c r="L97" s="39">
        <f>J97*$D$127*D97</f>
        <v>4.0399999999999998E-2</v>
      </c>
    </row>
    <row r="98" spans="1:15" ht="19.5" thickBot="1">
      <c r="A98" s="66">
        <v>56</v>
      </c>
      <c r="B98" s="125" t="s">
        <v>188</v>
      </c>
      <c r="C98" s="78" t="s">
        <v>17</v>
      </c>
      <c r="D98" s="8">
        <v>1</v>
      </c>
      <c r="E98" s="78" t="s">
        <v>101</v>
      </c>
      <c r="F98" s="90" t="s">
        <v>20</v>
      </c>
      <c r="G98" s="92" t="s">
        <v>62</v>
      </c>
      <c r="H98" s="78" t="s">
        <v>37</v>
      </c>
      <c r="I98" s="3">
        <v>2</v>
      </c>
      <c r="J98" s="3">
        <v>2</v>
      </c>
      <c r="K98" s="4">
        <f>I98*$D$128*D98</f>
        <v>8.0319999999999992E-3</v>
      </c>
      <c r="L98" s="39">
        <f>J98*$D$127*D98</f>
        <v>5.0499999999999998E-3</v>
      </c>
    </row>
    <row r="99" spans="1:15" ht="19.5" thickBot="1">
      <c r="A99" s="193" t="s">
        <v>58</v>
      </c>
      <c r="B99" s="194"/>
      <c r="C99" s="21"/>
      <c r="D99" s="18" t="s">
        <v>91</v>
      </c>
      <c r="E99" s="21"/>
      <c r="F99" s="21"/>
      <c r="G99" s="21"/>
      <c r="H99" s="21"/>
      <c r="I99" s="21"/>
      <c r="J99" s="21"/>
      <c r="K99" s="19"/>
      <c r="L99" s="20"/>
    </row>
    <row r="100" spans="1:15" s="43" customFormat="1" ht="19.5" thickBot="1">
      <c r="A100" s="48"/>
      <c r="B100" s="48"/>
      <c r="C100" s="48"/>
      <c r="D100" s="49"/>
      <c r="E100" s="48"/>
      <c r="F100" s="48"/>
      <c r="G100" s="48"/>
      <c r="H100" s="48"/>
      <c r="I100" s="48"/>
      <c r="J100" s="48"/>
      <c r="K100" s="50"/>
      <c r="L100" s="48"/>
    </row>
    <row r="101" spans="1:15" ht="19.5" thickBot="1">
      <c r="O101" s="6"/>
    </row>
    <row r="102" spans="1:15" ht="24" customHeight="1" thickBot="1">
      <c r="A102" s="188" t="s">
        <v>73</v>
      </c>
      <c r="B102" s="189"/>
      <c r="C102" s="189"/>
      <c r="D102" s="189"/>
      <c r="E102" s="189"/>
      <c r="F102" s="189"/>
      <c r="G102" s="189"/>
      <c r="H102" s="189"/>
      <c r="I102" s="189"/>
      <c r="J102" s="189"/>
      <c r="K102" s="190"/>
    </row>
    <row r="103" spans="1:15" ht="20.25" customHeight="1">
      <c r="A103" s="226" t="s">
        <v>72</v>
      </c>
      <c r="B103" s="227"/>
      <c r="C103" s="34" t="s">
        <v>152</v>
      </c>
      <c r="D103" s="34" t="s">
        <v>190</v>
      </c>
      <c r="E103" s="34" t="s">
        <v>68</v>
      </c>
      <c r="F103" s="34" t="s">
        <v>92</v>
      </c>
      <c r="G103" s="34" t="s">
        <v>97</v>
      </c>
      <c r="H103" s="34" t="s">
        <v>93</v>
      </c>
      <c r="I103" s="34" t="s">
        <v>69</v>
      </c>
      <c r="J103" s="34" t="s">
        <v>70</v>
      </c>
      <c r="K103" s="35" t="s">
        <v>71</v>
      </c>
      <c r="M103" s="5"/>
    </row>
    <row r="104" spans="1:15" ht="20.25" customHeight="1">
      <c r="A104" s="228" t="s">
        <v>112</v>
      </c>
      <c r="B104" s="229"/>
      <c r="C104" s="78">
        <v>2</v>
      </c>
      <c r="D104" s="78"/>
      <c r="E104" s="78"/>
      <c r="F104" s="78"/>
      <c r="G104" s="78"/>
      <c r="H104" s="78"/>
      <c r="I104" s="78"/>
      <c r="J104" s="78"/>
      <c r="K104" s="31">
        <f>SUM(C104:J104)</f>
        <v>2</v>
      </c>
      <c r="M104" s="5"/>
    </row>
    <row r="105" spans="1:15" ht="20.25" customHeight="1">
      <c r="A105" s="228" t="s">
        <v>104</v>
      </c>
      <c r="B105" s="229"/>
      <c r="C105" s="78">
        <v>3</v>
      </c>
      <c r="D105" s="78"/>
      <c r="E105" s="78"/>
      <c r="F105" s="78"/>
      <c r="G105" s="78"/>
      <c r="H105" s="78"/>
      <c r="I105" s="78"/>
      <c r="J105" s="78"/>
      <c r="K105" s="31">
        <f>SUM(C105:J105)</f>
        <v>3</v>
      </c>
      <c r="M105" s="5"/>
    </row>
    <row r="106" spans="1:15" ht="20.25" customHeight="1">
      <c r="A106" s="230" t="s">
        <v>151</v>
      </c>
      <c r="B106" s="231"/>
      <c r="C106" s="78"/>
      <c r="D106" s="78"/>
      <c r="E106" s="78">
        <v>3</v>
      </c>
      <c r="F106" s="78"/>
      <c r="G106" s="78"/>
      <c r="H106" s="78"/>
      <c r="I106" s="78"/>
      <c r="J106" s="78"/>
      <c r="K106" s="31"/>
      <c r="M106" s="5"/>
    </row>
    <row r="107" spans="1:15" ht="20.25" customHeight="1">
      <c r="A107" s="232" t="s">
        <v>20</v>
      </c>
      <c r="B107" s="233"/>
      <c r="C107" s="22"/>
      <c r="D107" s="78">
        <v>1</v>
      </c>
      <c r="E107" s="22">
        <v>5</v>
      </c>
      <c r="F107" s="57">
        <v>6</v>
      </c>
      <c r="G107" s="69"/>
      <c r="H107" s="57"/>
      <c r="I107" s="22"/>
      <c r="J107" s="22"/>
      <c r="K107" s="31">
        <f t="shared" ref="K107:K114" si="9">SUM(C107:J107)</f>
        <v>12</v>
      </c>
      <c r="M107" s="5"/>
    </row>
    <row r="108" spans="1:15" ht="20.25" customHeight="1">
      <c r="A108" s="212" t="s">
        <v>121</v>
      </c>
      <c r="B108" s="213"/>
      <c r="C108" s="78"/>
      <c r="D108" s="78"/>
      <c r="E108" s="78"/>
      <c r="F108" s="78">
        <v>2</v>
      </c>
      <c r="G108" s="78">
        <v>3</v>
      </c>
      <c r="H108" s="78"/>
      <c r="I108" s="78"/>
      <c r="J108" s="78"/>
      <c r="K108" s="31">
        <f t="shared" si="9"/>
        <v>5</v>
      </c>
      <c r="M108" s="5"/>
    </row>
    <row r="109" spans="1:15" ht="20.25" customHeight="1">
      <c r="A109" s="214" t="s">
        <v>67</v>
      </c>
      <c r="B109" s="215"/>
      <c r="C109" s="22"/>
      <c r="D109" s="78"/>
      <c r="E109" s="22">
        <v>8</v>
      </c>
      <c r="F109" s="57">
        <v>1</v>
      </c>
      <c r="G109" s="69"/>
      <c r="H109" s="57"/>
      <c r="I109" s="22"/>
      <c r="J109" s="22"/>
      <c r="K109" s="31">
        <f t="shared" si="9"/>
        <v>9</v>
      </c>
      <c r="M109" s="5"/>
    </row>
    <row r="110" spans="1:15" ht="20.25" customHeight="1">
      <c r="A110" s="216" t="s">
        <v>74</v>
      </c>
      <c r="B110" s="217"/>
      <c r="C110" s="22"/>
      <c r="D110" s="78"/>
      <c r="E110" s="22">
        <v>7</v>
      </c>
      <c r="F110" s="57">
        <v>5</v>
      </c>
      <c r="G110" s="69"/>
      <c r="H110" s="57"/>
      <c r="I110" s="22"/>
      <c r="J110" s="22"/>
      <c r="K110" s="31">
        <f t="shared" si="9"/>
        <v>12</v>
      </c>
      <c r="M110" s="5"/>
    </row>
    <row r="111" spans="1:15" ht="20.25" customHeight="1">
      <c r="A111" s="218" t="s">
        <v>106</v>
      </c>
      <c r="B111" s="219"/>
      <c r="C111" s="78"/>
      <c r="D111" s="78"/>
      <c r="E111" s="78">
        <v>3</v>
      </c>
      <c r="F111" s="78"/>
      <c r="G111" s="78">
        <v>5</v>
      </c>
      <c r="H111" s="78"/>
      <c r="I111" s="78">
        <v>1</v>
      </c>
      <c r="J111" s="78"/>
      <c r="K111" s="31">
        <f t="shared" si="9"/>
        <v>9</v>
      </c>
      <c r="M111" s="5"/>
    </row>
    <row r="112" spans="1:15" ht="20.25" customHeight="1">
      <c r="A112" s="220" t="s">
        <v>135</v>
      </c>
      <c r="B112" s="221"/>
      <c r="C112" s="78"/>
      <c r="D112" s="78"/>
      <c r="E112" s="78">
        <v>2</v>
      </c>
      <c r="F112" s="78"/>
      <c r="G112" s="78">
        <v>5</v>
      </c>
      <c r="H112" s="78">
        <v>3</v>
      </c>
      <c r="I112" s="78">
        <v>2</v>
      </c>
      <c r="J112" s="78">
        <v>5</v>
      </c>
      <c r="K112" s="31">
        <f t="shared" si="9"/>
        <v>17</v>
      </c>
      <c r="M112" s="5"/>
    </row>
    <row r="113" spans="1:13" ht="20.25" customHeight="1">
      <c r="A113" s="222" t="s">
        <v>75</v>
      </c>
      <c r="B113" s="223"/>
      <c r="C113" s="22"/>
      <c r="D113" s="78">
        <v>1</v>
      </c>
      <c r="E113" s="22">
        <v>3</v>
      </c>
      <c r="F113" s="57">
        <v>2</v>
      </c>
      <c r="G113" s="69">
        <v>2</v>
      </c>
      <c r="H113" s="57">
        <v>1</v>
      </c>
      <c r="I113" s="22">
        <v>3</v>
      </c>
      <c r="J113" s="22">
        <v>15</v>
      </c>
      <c r="K113" s="31">
        <f t="shared" si="9"/>
        <v>27</v>
      </c>
      <c r="M113" s="5"/>
    </row>
    <row r="114" spans="1:13" ht="20.25" customHeight="1" thickBot="1">
      <c r="A114" s="224" t="s">
        <v>76</v>
      </c>
      <c r="B114" s="225"/>
      <c r="C114" s="32"/>
      <c r="D114" s="187"/>
      <c r="E114" s="32"/>
      <c r="F114" s="58"/>
      <c r="G114" s="70">
        <v>1</v>
      </c>
      <c r="H114" s="58"/>
      <c r="I114" s="32">
        <v>2</v>
      </c>
      <c r="J114" s="32">
        <v>6</v>
      </c>
      <c r="K114" s="33">
        <f t="shared" si="9"/>
        <v>9</v>
      </c>
      <c r="M114" s="5"/>
    </row>
    <row r="116" spans="1:13" ht="19.5" thickBot="1"/>
    <row r="117" spans="1:13" ht="19.5" thickBot="1">
      <c r="B117" s="188" t="s">
        <v>185</v>
      </c>
      <c r="C117" s="189"/>
      <c r="D117" s="190"/>
      <c r="F117" s="188" t="s">
        <v>143</v>
      </c>
      <c r="G117" s="190"/>
    </row>
    <row r="118" spans="1:13" ht="38.25" thickBot="1">
      <c r="B118" s="77" t="s">
        <v>78</v>
      </c>
      <c r="C118" s="100" t="s">
        <v>169</v>
      </c>
      <c r="D118" s="101" t="s">
        <v>170</v>
      </c>
      <c r="F118" s="36" t="s">
        <v>142</v>
      </c>
      <c r="G118" s="118" t="s">
        <v>141</v>
      </c>
    </row>
    <row r="119" spans="1:13">
      <c r="B119" s="71">
        <v>0</v>
      </c>
      <c r="C119" s="78">
        <v>7.7899999999999997E-2</v>
      </c>
      <c r="D119" s="31">
        <f t="shared" ref="D119:D128" si="10">C119/1000</f>
        <v>7.7899999999999996E-5</v>
      </c>
      <c r="F119" s="119">
        <v>1</v>
      </c>
      <c r="G119" s="120">
        <v>1</v>
      </c>
    </row>
    <row r="120" spans="1:13">
      <c r="B120" s="71">
        <v>0</v>
      </c>
      <c r="C120" s="78">
        <v>9.8299999999999998E-2</v>
      </c>
      <c r="D120" s="31">
        <f t="shared" si="10"/>
        <v>9.8300000000000004E-5</v>
      </c>
      <c r="F120" s="66">
        <v>2</v>
      </c>
      <c r="G120" s="31">
        <v>2</v>
      </c>
    </row>
    <row r="121" spans="1:13">
      <c r="B121" s="71">
        <v>1</v>
      </c>
      <c r="C121" s="78">
        <v>0.1239</v>
      </c>
      <c r="D121" s="31">
        <f t="shared" si="10"/>
        <v>1.239E-4</v>
      </c>
      <c r="F121" s="66">
        <v>3</v>
      </c>
      <c r="G121" s="31">
        <v>3</v>
      </c>
    </row>
    <row r="122" spans="1:13">
      <c r="B122" s="71">
        <v>4</v>
      </c>
      <c r="C122" s="78">
        <v>0.2485</v>
      </c>
      <c r="D122" s="31">
        <f t="shared" si="10"/>
        <v>2.4850000000000002E-4</v>
      </c>
      <c r="F122" s="66">
        <v>10</v>
      </c>
      <c r="G122" s="31">
        <v>4.8</v>
      </c>
    </row>
    <row r="123" spans="1:13">
      <c r="B123" s="71">
        <v>6</v>
      </c>
      <c r="C123" s="78">
        <v>0.39510000000000001</v>
      </c>
      <c r="D123" s="31">
        <f t="shared" si="10"/>
        <v>3.9510000000000001E-4</v>
      </c>
      <c r="F123" s="66">
        <v>20</v>
      </c>
      <c r="G123" s="31">
        <v>15</v>
      </c>
    </row>
    <row r="124" spans="1:13">
      <c r="B124" s="71">
        <v>8</v>
      </c>
      <c r="C124" s="78">
        <v>0.62819999999999998</v>
      </c>
      <c r="D124" s="31">
        <f t="shared" si="10"/>
        <v>6.2819999999999998E-4</v>
      </c>
      <c r="F124" s="66">
        <v>25</v>
      </c>
      <c r="G124" s="31">
        <v>15.5</v>
      </c>
    </row>
    <row r="125" spans="1:13">
      <c r="B125" s="71">
        <v>10</v>
      </c>
      <c r="C125" s="78">
        <v>0.99890000000000001</v>
      </c>
      <c r="D125" s="31">
        <f t="shared" si="10"/>
        <v>9.9890000000000005E-4</v>
      </c>
      <c r="F125" s="66">
        <v>50</v>
      </c>
      <c r="G125" s="31">
        <v>30</v>
      </c>
    </row>
    <row r="126" spans="1:13">
      <c r="B126" s="71">
        <v>12</v>
      </c>
      <c r="C126" s="78">
        <v>1.5880000000000001</v>
      </c>
      <c r="D126" s="31">
        <f t="shared" si="10"/>
        <v>1.588E-3</v>
      </c>
      <c r="F126" s="66">
        <v>50</v>
      </c>
      <c r="G126" s="31">
        <v>40</v>
      </c>
    </row>
    <row r="127" spans="1:13">
      <c r="B127" s="71">
        <v>14</v>
      </c>
      <c r="C127" s="78">
        <v>2.5249999999999999</v>
      </c>
      <c r="D127" s="31">
        <f t="shared" si="10"/>
        <v>2.5249999999999999E-3</v>
      </c>
      <c r="F127" s="66">
        <v>105</v>
      </c>
      <c r="G127" s="31">
        <v>75</v>
      </c>
    </row>
    <row r="128" spans="1:13" ht="19.5" thickBot="1">
      <c r="B128" s="72">
        <v>16</v>
      </c>
      <c r="C128" s="135">
        <v>4.016</v>
      </c>
      <c r="D128" s="33">
        <f t="shared" si="10"/>
        <v>4.0159999999999996E-3</v>
      </c>
      <c r="F128" s="121"/>
      <c r="G128" s="33"/>
    </row>
  </sheetData>
  <mergeCells count="55">
    <mergeCell ref="A106:B106"/>
    <mergeCell ref="A107:B107"/>
    <mergeCell ref="A64:B64"/>
    <mergeCell ref="A89:B89"/>
    <mergeCell ref="A85:B85"/>
    <mergeCell ref="A99:B99"/>
    <mergeCell ref="F117:G117"/>
    <mergeCell ref="B117:D117"/>
    <mergeCell ref="A108:B108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G32:H32"/>
    <mergeCell ref="I32:J32"/>
    <mergeCell ref="K32:L32"/>
    <mergeCell ref="A52:B52"/>
    <mergeCell ref="A60:B60"/>
    <mergeCell ref="A51:B51"/>
    <mergeCell ref="A35:B35"/>
    <mergeCell ref="A37:B37"/>
    <mergeCell ref="A32:D32"/>
    <mergeCell ref="E32:F32"/>
    <mergeCell ref="A1:L1"/>
    <mergeCell ref="A2:D2"/>
    <mergeCell ref="E2:F2"/>
    <mergeCell ref="G2:H2"/>
    <mergeCell ref="K2:L2"/>
    <mergeCell ref="I2:J2"/>
    <mergeCell ref="A10:B10"/>
    <mergeCell ref="A18:B18"/>
    <mergeCell ref="A27:B27"/>
    <mergeCell ref="A23:B23"/>
    <mergeCell ref="A19:B19"/>
    <mergeCell ref="A102:K102"/>
    <mergeCell ref="K83:L83"/>
    <mergeCell ref="K88:L88"/>
    <mergeCell ref="A28:B28"/>
    <mergeCell ref="A65:B65"/>
    <mergeCell ref="A46:B46"/>
    <mergeCell ref="A49:B49"/>
    <mergeCell ref="A68:L68"/>
    <mergeCell ref="A69:D69"/>
    <mergeCell ref="E69:F69"/>
    <mergeCell ref="G69:H69"/>
    <mergeCell ref="I69:J69"/>
    <mergeCell ref="K69:L69"/>
    <mergeCell ref="A91:B91"/>
    <mergeCell ref="A31:L31"/>
    <mergeCell ref="A38:B38"/>
  </mergeCells>
  <pageMargins left="0.7" right="0.7" top="0.75" bottom="0.75" header="0.3" footer="0.3"/>
  <pageSetup scale="50" orientation="landscape" r:id="rId1"/>
  <rowBreaks count="3" manualBreakCount="3">
    <brk id="30" max="11" man="1"/>
    <brk id="67" max="11" man="1"/>
    <brk id="9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46"/>
  <sheetViews>
    <sheetView zoomScaleNormal="100" workbookViewId="0"/>
  </sheetViews>
  <sheetFormatPr defaultColWidth="10.7109375" defaultRowHeight="18.75"/>
  <cols>
    <col min="1" max="1" width="10.7109375" style="5" customWidth="1"/>
    <col min="2" max="2" width="18.7109375" style="5" customWidth="1"/>
    <col min="3" max="3" width="24.7109375" style="5" customWidth="1"/>
    <col min="4" max="4" width="18.7109375" style="5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5" customWidth="1"/>
    <col min="11" max="11" width="18.7109375" style="5" customWidth="1"/>
    <col min="12" max="12" width="14.7109375" style="5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7" s="43" customFormat="1" ht="19.5" thickBot="1">
      <c r="A1" s="48"/>
      <c r="B1" s="48"/>
      <c r="C1" s="48"/>
      <c r="D1" s="49"/>
      <c r="E1" s="48"/>
      <c r="F1" s="48"/>
      <c r="G1" s="48"/>
      <c r="H1" s="48"/>
      <c r="I1" s="48"/>
      <c r="J1" s="48"/>
      <c r="K1" s="50"/>
      <c r="L1" s="48"/>
    </row>
    <row r="2" spans="1:17" s="43" customFormat="1" ht="40.5" customHeight="1" thickBot="1">
      <c r="A2" s="234" t="s">
        <v>172</v>
      </c>
      <c r="B2" s="235"/>
      <c r="C2" s="235"/>
      <c r="D2" s="235"/>
      <c r="E2" s="235"/>
      <c r="F2" s="174" t="s">
        <v>164</v>
      </c>
      <c r="G2" s="148" t="s">
        <v>158</v>
      </c>
      <c r="H2" s="48"/>
      <c r="I2" s="48"/>
      <c r="J2" s="48"/>
      <c r="K2" s="48"/>
      <c r="L2" s="48"/>
      <c r="M2" s="48"/>
      <c r="N2" s="50"/>
      <c r="O2" s="48"/>
    </row>
    <row r="3" spans="1:17" s="43" customFormat="1" ht="18.75" customHeight="1">
      <c r="A3" s="236" t="s">
        <v>113</v>
      </c>
      <c r="B3" s="237"/>
      <c r="C3" s="237"/>
      <c r="D3" s="237"/>
      <c r="E3" s="237"/>
      <c r="F3" s="175">
        <f>SUM(I14,N14)</f>
        <v>0.56331228</v>
      </c>
      <c r="G3" s="149">
        <f>F3/12</f>
        <v>4.6942690000000002E-2</v>
      </c>
      <c r="H3" s="48"/>
      <c r="I3" s="48"/>
      <c r="J3" s="48"/>
      <c r="K3" s="48"/>
      <c r="L3" s="48"/>
      <c r="M3" s="48"/>
      <c r="N3" s="50"/>
      <c r="O3" s="48"/>
    </row>
    <row r="4" spans="1:17" s="43" customFormat="1">
      <c r="A4" s="247"/>
      <c r="B4" s="248"/>
      <c r="C4" s="248"/>
      <c r="D4" s="248"/>
      <c r="E4" s="248"/>
      <c r="F4" s="176"/>
      <c r="G4" s="150"/>
      <c r="H4" s="48"/>
      <c r="I4" s="48"/>
      <c r="J4" s="48"/>
      <c r="K4" s="48"/>
      <c r="L4" s="48"/>
      <c r="M4" s="48"/>
      <c r="N4" s="50"/>
      <c r="O4" s="48"/>
    </row>
    <row r="5" spans="1:17" s="43" customFormat="1" ht="18.75" customHeight="1">
      <c r="A5" s="242" t="s">
        <v>114</v>
      </c>
      <c r="B5" s="243"/>
      <c r="C5" s="243"/>
      <c r="D5" s="243"/>
      <c r="E5" s="243"/>
      <c r="F5" s="176">
        <f>SUM(I16,N16)</f>
        <v>0.51008437500000003</v>
      </c>
      <c r="G5" s="151">
        <f>F5/12</f>
        <v>4.2507031250000001E-2</v>
      </c>
      <c r="H5" s="48"/>
      <c r="I5" s="48"/>
      <c r="J5" s="48"/>
      <c r="K5" s="48"/>
      <c r="L5" s="48"/>
      <c r="M5" s="48"/>
      <c r="N5" s="50"/>
      <c r="O5" s="48"/>
    </row>
    <row r="6" spans="1:17" s="43" customFormat="1">
      <c r="A6" s="247"/>
      <c r="B6" s="248"/>
      <c r="C6" s="248"/>
      <c r="D6" s="248"/>
      <c r="E6" s="248"/>
      <c r="F6" s="176"/>
      <c r="G6" s="150"/>
      <c r="H6" s="48"/>
      <c r="I6" s="48"/>
      <c r="J6" s="48"/>
      <c r="K6" s="48"/>
      <c r="L6" s="48"/>
      <c r="M6" s="48"/>
      <c r="N6" s="50"/>
      <c r="O6" s="48"/>
    </row>
    <row r="7" spans="1:17" s="43" customFormat="1" ht="18.75" customHeight="1">
      <c r="A7" s="242" t="s">
        <v>115</v>
      </c>
      <c r="B7" s="243"/>
      <c r="C7" s="243"/>
      <c r="D7" s="243"/>
      <c r="E7" s="243"/>
      <c r="F7" s="176">
        <f>SUM(I18,N18)</f>
        <v>0.60004100250000003</v>
      </c>
      <c r="G7" s="151">
        <f>F7/12</f>
        <v>5.0003416875000005E-2</v>
      </c>
      <c r="H7" s="48"/>
      <c r="I7" s="48"/>
      <c r="J7" s="48"/>
      <c r="K7" s="48"/>
      <c r="L7" s="48"/>
      <c r="M7" s="48"/>
      <c r="N7" s="50"/>
      <c r="O7" s="48"/>
    </row>
    <row r="8" spans="1:17" s="43" customFormat="1">
      <c r="A8" s="247"/>
      <c r="B8" s="248"/>
      <c r="C8" s="248"/>
      <c r="D8" s="248"/>
      <c r="E8" s="248"/>
      <c r="F8" s="176"/>
      <c r="G8" s="150"/>
      <c r="H8" s="48"/>
      <c r="I8" s="48"/>
      <c r="J8" s="48"/>
      <c r="K8" s="48"/>
      <c r="L8" s="48"/>
      <c r="M8" s="48"/>
      <c r="N8" s="50"/>
      <c r="O8" s="48"/>
    </row>
    <row r="9" spans="1:17" s="43" customFormat="1" ht="18.75" customHeight="1">
      <c r="A9" s="242" t="s">
        <v>107</v>
      </c>
      <c r="B9" s="243"/>
      <c r="C9" s="243"/>
      <c r="D9" s="243"/>
      <c r="E9" s="243"/>
      <c r="F9" s="176">
        <f>SUM(I20,N20)</f>
        <v>0.25475249999999999</v>
      </c>
      <c r="G9" s="151">
        <f>F9/12</f>
        <v>2.1229374999999998E-2</v>
      </c>
      <c r="H9" s="48"/>
      <c r="I9" s="48"/>
      <c r="J9" s="48"/>
      <c r="K9" s="48"/>
      <c r="L9" s="48"/>
      <c r="M9" s="48"/>
      <c r="N9" s="50"/>
      <c r="O9" s="48"/>
    </row>
    <row r="10" spans="1:17" s="43" customFormat="1" ht="19.5" thickBot="1">
      <c r="A10" s="240"/>
      <c r="B10" s="241"/>
      <c r="C10" s="241"/>
      <c r="D10" s="241"/>
      <c r="E10" s="241"/>
      <c r="F10" s="177"/>
      <c r="G10" s="152"/>
      <c r="H10" s="48"/>
      <c r="I10" s="48"/>
      <c r="J10" s="48"/>
      <c r="K10" s="48"/>
      <c r="L10" s="48"/>
      <c r="M10" s="48"/>
      <c r="N10" s="50"/>
      <c r="O10" s="48"/>
    </row>
    <row r="11" spans="1:17" s="43" customFormat="1">
      <c r="A11" s="48"/>
      <c r="B11" s="48"/>
      <c r="C11" s="48"/>
      <c r="D11" s="49"/>
      <c r="E11" s="48"/>
      <c r="F11" s="48"/>
      <c r="G11" s="48"/>
      <c r="H11" s="48"/>
      <c r="I11" s="48"/>
      <c r="J11" s="48"/>
      <c r="K11" s="50"/>
      <c r="L11" s="48"/>
    </row>
    <row r="12" spans="1:17" ht="19.5" thickBot="1">
      <c r="E12" s="5"/>
      <c r="F12" s="5"/>
      <c r="G12" s="5"/>
      <c r="H12" s="5"/>
    </row>
    <row r="13" spans="1:17" ht="40.5" customHeight="1" thickBot="1">
      <c r="A13" s="234" t="s">
        <v>100</v>
      </c>
      <c r="B13" s="235"/>
      <c r="C13" s="235"/>
      <c r="D13" s="235"/>
      <c r="E13" s="235"/>
      <c r="F13" s="164" t="s">
        <v>153</v>
      </c>
      <c r="G13" s="130" t="s">
        <v>99</v>
      </c>
      <c r="H13" s="130" t="s">
        <v>160</v>
      </c>
      <c r="I13" s="136" t="s">
        <v>156</v>
      </c>
      <c r="J13" s="165" t="s">
        <v>163</v>
      </c>
      <c r="K13" s="159" t="s">
        <v>161</v>
      </c>
      <c r="L13" s="82" t="s">
        <v>99</v>
      </c>
      <c r="M13" s="82" t="s">
        <v>55</v>
      </c>
      <c r="N13" s="140" t="s">
        <v>157</v>
      </c>
      <c r="O13" s="154" t="s">
        <v>162</v>
      </c>
      <c r="P13" s="51"/>
      <c r="Q13" s="51"/>
    </row>
    <row r="14" spans="1:17" s="7" customFormat="1" ht="20.25" customHeight="1">
      <c r="A14" s="236" t="s">
        <v>165</v>
      </c>
      <c r="B14" s="237"/>
      <c r="C14" s="237"/>
      <c r="D14" s="237"/>
      <c r="E14" s="237"/>
      <c r="F14" s="166">
        <f>F26</f>
        <v>2.5000000000000001E-4</v>
      </c>
      <c r="G14" s="131">
        <f>'Wire Detail'!G127</f>
        <v>75</v>
      </c>
      <c r="H14" s="131">
        <f>32/2</f>
        <v>16</v>
      </c>
      <c r="I14" s="137">
        <f>PRODUCT(F14:H14)</f>
        <v>0.3</v>
      </c>
      <c r="J14" s="167">
        <f>I14/12</f>
        <v>2.4999999999999998E-2</v>
      </c>
      <c r="K14" s="160">
        <f>D28</f>
        <v>1.239E-4</v>
      </c>
      <c r="L14" s="83">
        <f>'Wire Detail'!G127</f>
        <v>75</v>
      </c>
      <c r="M14" s="84">
        <f>'Wire Detail'!D4+'Wire Detail'!D9+'Wire Detail'!D11+'Wire Detail'!D12+'Wire Detail'!D13+'Wire Detail'!D14+'Wire Detail'!D15+'Wire Detail'!D16</f>
        <v>28.335999999999999</v>
      </c>
      <c r="N14" s="141">
        <f>PRODUCT(K14:M14)</f>
        <v>0.26331228000000001</v>
      </c>
      <c r="O14" s="155">
        <f>N14/12</f>
        <v>2.1942690000000001E-2</v>
      </c>
      <c r="P14" s="51"/>
      <c r="Q14" s="51"/>
    </row>
    <row r="15" spans="1:17" s="7" customFormat="1" ht="14.25" customHeight="1">
      <c r="A15" s="247"/>
      <c r="B15" s="248"/>
      <c r="C15" s="248"/>
      <c r="D15" s="248"/>
      <c r="E15" s="248"/>
      <c r="F15" s="168"/>
      <c r="G15" s="132"/>
      <c r="H15" s="132"/>
      <c r="I15" s="145"/>
      <c r="J15" s="169"/>
      <c r="K15" s="161"/>
      <c r="L15" s="85"/>
      <c r="M15" s="85"/>
      <c r="N15" s="142"/>
      <c r="O15" s="156"/>
      <c r="P15" s="51"/>
      <c r="Q15" s="51"/>
    </row>
    <row r="16" spans="1:17" s="7" customFormat="1" ht="20.25" customHeight="1">
      <c r="A16" s="242" t="s">
        <v>166</v>
      </c>
      <c r="B16" s="243"/>
      <c r="C16" s="243"/>
      <c r="D16" s="243"/>
      <c r="E16" s="243"/>
      <c r="F16" s="170">
        <f>F26</f>
        <v>2.5000000000000001E-4</v>
      </c>
      <c r="G16" s="133">
        <f>'Wire Detail'!G127</f>
        <v>75</v>
      </c>
      <c r="H16" s="133">
        <f>16/2</f>
        <v>8</v>
      </c>
      <c r="I16" s="138">
        <f>PRODUCT(F16:H16)</f>
        <v>0.15</v>
      </c>
      <c r="J16" s="171">
        <f>I16/12</f>
        <v>1.2499999999999999E-2</v>
      </c>
      <c r="K16" s="162">
        <f>D28</f>
        <v>1.239E-4</v>
      </c>
      <c r="L16" s="86">
        <f>'Wire Detail'!G127</f>
        <v>75</v>
      </c>
      <c r="M16" s="87">
        <f>'Wire Detail'!D7+'Wire Detail'!D8+'Wire Detail'!D16+'Wire Detail'!D17</f>
        <v>38.75</v>
      </c>
      <c r="N16" s="142">
        <f>PRODUCT(K16:M16)</f>
        <v>0.36008437500000001</v>
      </c>
      <c r="O16" s="157">
        <f>N16/12</f>
        <v>3.000703125E-2</v>
      </c>
      <c r="P16" s="51"/>
      <c r="Q16" s="51"/>
    </row>
    <row r="17" spans="1:17" s="7" customFormat="1" ht="14.25" customHeight="1">
      <c r="A17" s="247"/>
      <c r="B17" s="248"/>
      <c r="C17" s="248"/>
      <c r="D17" s="248"/>
      <c r="E17" s="248"/>
      <c r="F17" s="168"/>
      <c r="G17" s="132"/>
      <c r="H17" s="132"/>
      <c r="I17" s="145"/>
      <c r="J17" s="169"/>
      <c r="K17" s="161"/>
      <c r="L17" s="85"/>
      <c r="M17" s="85"/>
      <c r="N17" s="142"/>
      <c r="O17" s="156"/>
      <c r="P17" s="51"/>
      <c r="Q17" s="51"/>
    </row>
    <row r="18" spans="1:17" s="7" customFormat="1" ht="20.25" customHeight="1">
      <c r="A18" s="242" t="s">
        <v>167</v>
      </c>
      <c r="B18" s="243"/>
      <c r="C18" s="243"/>
      <c r="D18" s="243"/>
      <c r="E18" s="243"/>
      <c r="F18" s="170">
        <f>F26</f>
        <v>2.5000000000000001E-4</v>
      </c>
      <c r="G18" s="133">
        <f>'Wire Detail'!G127</f>
        <v>75</v>
      </c>
      <c r="H18" s="133">
        <f>36/2</f>
        <v>18</v>
      </c>
      <c r="I18" s="138">
        <f>PRODUCT(F18:H18)</f>
        <v>0.33749999999999997</v>
      </c>
      <c r="J18" s="171">
        <f>I18/12</f>
        <v>2.8124999999999997E-2</v>
      </c>
      <c r="K18" s="162">
        <f>D28</f>
        <v>1.239E-4</v>
      </c>
      <c r="L18" s="86">
        <f>'Wire Detail'!G127</f>
        <v>75</v>
      </c>
      <c r="M18" s="87">
        <f>'Wire Detail'!D5+'Wire Detail'!D8+'Wire Detail'!D9+'Wire Detail'!D11+'Wire Detail'!D12+'Wire Detail'!D13+'Wire Detail'!D14+'Wire Detail'!D15+'Wire Detail'!D16</f>
        <v>28.253</v>
      </c>
      <c r="N18" s="142">
        <f>PRODUCT(K18:M18)</f>
        <v>0.26254100250000001</v>
      </c>
      <c r="O18" s="157">
        <f>N18/12</f>
        <v>2.1878416875000001E-2</v>
      </c>
      <c r="P18" s="51"/>
      <c r="Q18" s="51"/>
    </row>
    <row r="19" spans="1:17" s="7" customFormat="1" ht="14.25" customHeight="1">
      <c r="A19" s="247"/>
      <c r="B19" s="248"/>
      <c r="C19" s="248"/>
      <c r="D19" s="248"/>
      <c r="E19" s="248"/>
      <c r="F19" s="168"/>
      <c r="G19" s="132"/>
      <c r="H19" s="132"/>
      <c r="I19" s="145"/>
      <c r="J19" s="169"/>
      <c r="K19" s="161"/>
      <c r="L19" s="85"/>
      <c r="M19" s="85"/>
      <c r="N19" s="142"/>
      <c r="O19" s="156"/>
      <c r="P19" s="51"/>
      <c r="Q19" s="51"/>
    </row>
    <row r="20" spans="1:17" s="7" customFormat="1" ht="20.25" customHeight="1">
      <c r="A20" s="242" t="s">
        <v>168</v>
      </c>
      <c r="B20" s="243"/>
      <c r="C20" s="243"/>
      <c r="D20" s="243"/>
      <c r="E20" s="243"/>
      <c r="F20" s="170">
        <f>F26</f>
        <v>2.5000000000000001E-4</v>
      </c>
      <c r="G20" s="133">
        <f>'Wire Detail'!G123</f>
        <v>15</v>
      </c>
      <c r="H20" s="133">
        <f>16/2</f>
        <v>8</v>
      </c>
      <c r="I20" s="144">
        <f>PRODUCT(F20:H20)</f>
        <v>0.03</v>
      </c>
      <c r="J20" s="171">
        <f>I20/12</f>
        <v>2.5000000000000001E-3</v>
      </c>
      <c r="K20" s="162">
        <f>D32</f>
        <v>9.9890000000000005E-4</v>
      </c>
      <c r="L20" s="86">
        <f>'Wire Detail'!G123</f>
        <v>15</v>
      </c>
      <c r="M20" s="87">
        <f>'Wire Detail'!D55+'Wire Detail'!D56+'Wire Detail'!D57+'Wire Detail'!D61</f>
        <v>15</v>
      </c>
      <c r="N20" s="142">
        <f>PRODUCT(K20:M20)</f>
        <v>0.22475249999999999</v>
      </c>
      <c r="O20" s="157">
        <f>N20/12</f>
        <v>1.8729374999999999E-2</v>
      </c>
      <c r="P20" s="51"/>
      <c r="Q20" s="51"/>
    </row>
    <row r="21" spans="1:17" ht="14.25" customHeight="1" thickBot="1">
      <c r="A21" s="240"/>
      <c r="B21" s="241"/>
      <c r="C21" s="241"/>
      <c r="D21" s="241"/>
      <c r="E21" s="241"/>
      <c r="F21" s="172"/>
      <c r="G21" s="134"/>
      <c r="H21" s="134"/>
      <c r="I21" s="139"/>
      <c r="J21" s="173"/>
      <c r="K21" s="163"/>
      <c r="L21" s="88"/>
      <c r="M21" s="88"/>
      <c r="N21" s="143"/>
      <c r="O21" s="158"/>
      <c r="P21" s="51"/>
      <c r="Q21" s="51"/>
    </row>
    <row r="22" spans="1:17" ht="14.25" customHeight="1">
      <c r="A22" s="81"/>
      <c r="B22" s="81"/>
      <c r="C22" s="81"/>
      <c r="D22" s="81"/>
      <c r="E22" s="81"/>
      <c r="F22" s="52"/>
      <c r="G22" s="52"/>
      <c r="H22" s="52"/>
      <c r="I22" s="81"/>
      <c r="J22" s="81"/>
      <c r="K22" s="81"/>
      <c r="L22" s="81"/>
      <c r="M22" s="6"/>
      <c r="N22" s="6"/>
    </row>
    <row r="23" spans="1:17" ht="19.5" thickBot="1">
      <c r="O23" s="6"/>
    </row>
    <row r="24" spans="1:17" ht="24" customHeight="1" thickBot="1">
      <c r="A24" s="1"/>
      <c r="B24" s="244" t="s">
        <v>154</v>
      </c>
      <c r="C24" s="245"/>
      <c r="D24" s="246"/>
      <c r="E24" s="147"/>
      <c r="F24" s="244" t="s">
        <v>155</v>
      </c>
      <c r="G24" s="246"/>
      <c r="H24" s="147"/>
      <c r="I24" s="52"/>
      <c r="J24" s="1"/>
      <c r="K24" s="1"/>
      <c r="L24" s="1"/>
    </row>
    <row r="25" spans="1:17" ht="20.25" customHeight="1" thickBot="1">
      <c r="A25" s="1"/>
      <c r="B25" s="77" t="s">
        <v>78</v>
      </c>
      <c r="C25" s="100" t="s">
        <v>169</v>
      </c>
      <c r="D25" s="101" t="s">
        <v>170</v>
      </c>
      <c r="E25" s="146"/>
      <c r="F25" s="188" t="s">
        <v>171</v>
      </c>
      <c r="G25" s="190"/>
      <c r="H25" s="147"/>
      <c r="I25" s="52"/>
      <c r="J25" s="1"/>
      <c r="K25" s="1"/>
      <c r="L25" s="1"/>
    </row>
    <row r="26" spans="1:17" ht="20.25" customHeight="1" thickBot="1">
      <c r="A26" s="1"/>
      <c r="B26" s="178" t="s">
        <v>98</v>
      </c>
      <c r="C26" s="78">
        <v>7.7899999999999997E-2</v>
      </c>
      <c r="D26" s="31">
        <f t="shared" ref="D26:D35" si="0">C26/1000</f>
        <v>7.7899999999999996E-5</v>
      </c>
      <c r="E26" s="81"/>
      <c r="F26" s="238">
        <v>2.5000000000000001E-4</v>
      </c>
      <c r="G26" s="239"/>
      <c r="H26" s="5"/>
      <c r="I26" s="1"/>
      <c r="J26" s="1"/>
      <c r="K26" s="1"/>
      <c r="L26" s="1"/>
    </row>
    <row r="27" spans="1:17" ht="20.25" customHeight="1">
      <c r="A27" s="1"/>
      <c r="B27" s="71">
        <v>0</v>
      </c>
      <c r="C27" s="78">
        <v>9.8299999999999998E-2</v>
      </c>
      <c r="D27" s="31">
        <f t="shared" si="0"/>
        <v>9.8300000000000004E-5</v>
      </c>
      <c r="E27" s="81"/>
      <c r="F27" s="81"/>
      <c r="G27" s="81"/>
      <c r="H27" s="5"/>
      <c r="I27" s="1"/>
      <c r="J27" s="1"/>
      <c r="K27" s="1"/>
      <c r="L27" s="1"/>
    </row>
    <row r="28" spans="1:17" ht="20.25" customHeight="1">
      <c r="A28" s="1"/>
      <c r="B28" s="71">
        <v>1</v>
      </c>
      <c r="C28" s="78">
        <v>0.1239</v>
      </c>
      <c r="D28" s="31">
        <f t="shared" si="0"/>
        <v>1.239E-4</v>
      </c>
      <c r="E28" s="81"/>
      <c r="F28" s="81"/>
      <c r="G28" s="81"/>
      <c r="H28" s="5"/>
      <c r="I28" s="1"/>
      <c r="J28" s="1"/>
      <c r="K28" s="1"/>
      <c r="L28" s="1"/>
    </row>
    <row r="29" spans="1:17" ht="20.25" customHeight="1">
      <c r="A29" s="1"/>
      <c r="B29" s="71">
        <v>4</v>
      </c>
      <c r="C29" s="78">
        <v>0.2485</v>
      </c>
      <c r="D29" s="31">
        <f t="shared" si="0"/>
        <v>2.4850000000000002E-4</v>
      </c>
      <c r="E29" s="81"/>
      <c r="F29" s="81"/>
      <c r="G29" s="81"/>
      <c r="H29" s="5"/>
      <c r="I29" s="1"/>
      <c r="J29" s="1"/>
      <c r="K29" s="1"/>
      <c r="L29" s="1"/>
    </row>
    <row r="30" spans="1:17" ht="20.25" customHeight="1">
      <c r="A30" s="1"/>
      <c r="B30" s="71">
        <v>6</v>
      </c>
      <c r="C30" s="78">
        <v>0.39510000000000001</v>
      </c>
      <c r="D30" s="31">
        <f t="shared" si="0"/>
        <v>3.9510000000000001E-4</v>
      </c>
      <c r="E30" s="81"/>
      <c r="F30" s="81"/>
      <c r="G30" s="81"/>
      <c r="H30" s="5"/>
      <c r="I30" s="1"/>
      <c r="J30" s="1"/>
      <c r="K30" s="1"/>
      <c r="L30" s="1"/>
    </row>
    <row r="31" spans="1:17" ht="20.25" customHeight="1">
      <c r="A31" s="1"/>
      <c r="B31" s="71">
        <v>8</v>
      </c>
      <c r="C31" s="78">
        <v>0.62819999999999998</v>
      </c>
      <c r="D31" s="31">
        <f t="shared" si="0"/>
        <v>6.2819999999999998E-4</v>
      </c>
      <c r="E31" s="81"/>
      <c r="F31" s="81"/>
      <c r="G31" s="81"/>
      <c r="H31" s="5"/>
      <c r="I31" s="1"/>
      <c r="J31" s="1"/>
      <c r="K31" s="1"/>
      <c r="L31" s="1"/>
    </row>
    <row r="32" spans="1:17" ht="20.25" customHeight="1">
      <c r="A32" s="1"/>
      <c r="B32" s="71">
        <v>10</v>
      </c>
      <c r="C32" s="78">
        <v>0.99890000000000001</v>
      </c>
      <c r="D32" s="31">
        <f t="shared" si="0"/>
        <v>9.9890000000000005E-4</v>
      </c>
      <c r="E32" s="81"/>
      <c r="F32" s="81"/>
      <c r="G32" s="81"/>
      <c r="H32" s="5"/>
      <c r="I32" s="1"/>
      <c r="J32" s="1"/>
      <c r="K32" s="1"/>
      <c r="L32" s="1"/>
    </row>
    <row r="33" spans="1:12" ht="20.25" customHeight="1">
      <c r="A33" s="1"/>
      <c r="B33" s="71">
        <v>12</v>
      </c>
      <c r="C33" s="78">
        <v>1.5880000000000001</v>
      </c>
      <c r="D33" s="31">
        <f t="shared" si="0"/>
        <v>1.588E-3</v>
      </c>
      <c r="E33" s="81"/>
      <c r="F33" s="81"/>
      <c r="G33" s="81"/>
      <c r="H33" s="5"/>
      <c r="I33" s="1"/>
      <c r="J33" s="1"/>
      <c r="K33" s="1"/>
      <c r="L33" s="1"/>
    </row>
    <row r="34" spans="1:12" ht="20.25" customHeight="1">
      <c r="A34" s="1"/>
      <c r="B34" s="71">
        <v>14</v>
      </c>
      <c r="C34" s="78">
        <v>2.5249999999999999</v>
      </c>
      <c r="D34" s="31">
        <f t="shared" si="0"/>
        <v>2.5249999999999999E-3</v>
      </c>
      <c r="E34" s="81"/>
      <c r="F34" s="81"/>
      <c r="G34" s="81"/>
      <c r="H34" s="5"/>
      <c r="I34" s="1"/>
      <c r="J34" s="1"/>
      <c r="K34" s="1"/>
      <c r="L34" s="1"/>
    </row>
    <row r="35" spans="1:12" ht="20.25" customHeight="1" thickBot="1">
      <c r="A35" s="1"/>
      <c r="B35" s="72">
        <v>16</v>
      </c>
      <c r="C35" s="135">
        <v>4.016</v>
      </c>
      <c r="D35" s="33">
        <f t="shared" si="0"/>
        <v>4.0159999999999996E-3</v>
      </c>
      <c r="E35" s="81"/>
      <c r="F35" s="81"/>
      <c r="G35" s="81"/>
      <c r="H35" s="5"/>
      <c r="I35" s="1"/>
      <c r="J35" s="1"/>
      <c r="K35" s="1"/>
      <c r="L35" s="1"/>
    </row>
    <row r="36" spans="1:12" ht="20.25" customHeight="1">
      <c r="A36" s="1"/>
      <c r="F36" s="5"/>
      <c r="G36" s="81"/>
      <c r="H36" s="81"/>
      <c r="I36" s="1"/>
      <c r="J36" s="1"/>
      <c r="K36" s="1"/>
      <c r="L36" s="1"/>
    </row>
    <row r="37" spans="1:12" ht="20.25" customHeight="1">
      <c r="H37" s="5"/>
      <c r="L37" s="1"/>
    </row>
    <row r="38" spans="1:12" ht="20.25" customHeight="1">
      <c r="H38" s="5"/>
      <c r="L38" s="1"/>
    </row>
    <row r="39" spans="1:12" ht="20.25" customHeight="1">
      <c r="H39" s="5"/>
      <c r="L39" s="1"/>
    </row>
    <row r="40" spans="1:12" ht="20.25" customHeight="1">
      <c r="H40" s="5"/>
      <c r="L40" s="1"/>
    </row>
    <row r="41" spans="1:12" ht="20.25" customHeight="1">
      <c r="H41" s="5"/>
      <c r="L41" s="1"/>
    </row>
    <row r="42" spans="1:12" ht="20.25" customHeight="1">
      <c r="H42" s="5"/>
      <c r="L42" s="1"/>
    </row>
    <row r="43" spans="1:12" ht="20.25" customHeight="1">
      <c r="H43" s="5"/>
      <c r="L43" s="1"/>
    </row>
    <row r="44" spans="1:12" ht="20.25" customHeight="1">
      <c r="H44" s="5"/>
      <c r="L44" s="1"/>
    </row>
    <row r="45" spans="1:12" ht="20.25" customHeight="1">
      <c r="H45" s="5"/>
      <c r="L45" s="1"/>
    </row>
    <row r="46" spans="1:12" ht="20.25" customHeight="1">
      <c r="H46" s="5"/>
      <c r="L46" s="1"/>
    </row>
  </sheetData>
  <mergeCells count="22">
    <mergeCell ref="A14:E14"/>
    <mergeCell ref="A4:E4"/>
    <mergeCell ref="A5:E5"/>
    <mergeCell ref="A6:E6"/>
    <mergeCell ref="A7:E7"/>
    <mergeCell ref="A8:E8"/>
    <mergeCell ref="A2:E2"/>
    <mergeCell ref="A3:E3"/>
    <mergeCell ref="A13:E13"/>
    <mergeCell ref="F25:G25"/>
    <mergeCell ref="F26:G26"/>
    <mergeCell ref="A10:E10"/>
    <mergeCell ref="A9:E9"/>
    <mergeCell ref="B24:D24"/>
    <mergeCell ref="A21:E21"/>
    <mergeCell ref="F24:G24"/>
    <mergeCell ref="A19:E19"/>
    <mergeCell ref="A20:E20"/>
    <mergeCell ref="A17:E17"/>
    <mergeCell ref="A18:E18"/>
    <mergeCell ref="A15:E15"/>
    <mergeCell ref="A16:E16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7" right="0.7" top="0.75" bottom="0.75" header="0.3" footer="0.3"/>
  <pageSetup scale="78" orientation="landscape" r:id="rId1"/>
  <legacyDrawing r:id="rId2"/>
  <oleObjects>
    <oleObject progId="Visio.Drawing.11" shapeId="1142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Wire Detail</vt:lpstr>
      <vt:lpstr>Voltage Drop Calculations</vt:lpstr>
      <vt:lpstr>Schematic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2016-03-31T22:06:56Z</cp:lastPrinted>
  <dcterms:created xsi:type="dcterms:W3CDTF">2015-11-21T20:33:10Z</dcterms:created>
  <dcterms:modified xsi:type="dcterms:W3CDTF">2024-11-27T20:31:17Z</dcterms:modified>
</cp:coreProperties>
</file>